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codeName="ThisWorkbook" autoCompressPictures="0"/>
  <bookViews>
    <workbookView xWindow="-27380" yWindow="0" windowWidth="27340" windowHeight="21100" tabRatio="750"/>
  </bookViews>
  <sheets>
    <sheet name="TOTAL 2017" sheetId="110" r:id="rId1"/>
    <sheet name="TOTAL 2016" sheetId="104" r:id="rId2"/>
    <sheet name="TOTAL 2015" sheetId="96" state="hidden" r:id="rId3"/>
    <sheet name="TOTAL 2014" sheetId="54" state="hidden" r:id="rId4"/>
    <sheet name="TOTAL 2013" sheetId="50" state="hidden" r:id="rId5"/>
    <sheet name="TOTAL 2012" sheetId="46" state="hidden" r:id="rId6"/>
    <sheet name="TOTAL 2011" sheetId="45" state="hidden" r:id="rId7"/>
    <sheet name="TOTAL 2010" sheetId="41" state="hidden" r:id="rId8"/>
    <sheet name="TOTAL 2009" sheetId="36" state="hidden" r:id="rId9"/>
    <sheet name="TOTAL 2008" sheetId="32" state="hidden" r:id="rId10"/>
    <sheet name="TOTAL 2007" sheetId="28" state="hidden" r:id="rId11"/>
    <sheet name="TOTAL 2006" sheetId="24" state="hidden" r:id="rId12"/>
    <sheet name="TOTAL 2005" sheetId="17" state="hidden" r:id="rId13"/>
    <sheet name="TOTAL 2004" sheetId="16" state="hidden" r:id="rId14"/>
    <sheet name="TOTAL 2003" sheetId="11" state="hidden" r:id="rId15"/>
    <sheet name="TOTAL 2002" sheetId="9" state="hidden" r:id="rId16"/>
    <sheet name="CR 2017" sheetId="111" r:id="rId17"/>
    <sheet name="CR 2016" sheetId="105" r:id="rId18"/>
    <sheet name="CR 2015" sheetId="97" state="hidden" r:id="rId19"/>
    <sheet name="CR 2014" sheetId="84" state="hidden" r:id="rId20"/>
    <sheet name="CR 2013" sheetId="85" state="hidden" r:id="rId21"/>
    <sheet name="CR 2012" sheetId="86" state="hidden" r:id="rId22"/>
    <sheet name="CR 2011" sheetId="87" state="hidden" r:id="rId23"/>
    <sheet name="CR 2010" sheetId="88" state="hidden" r:id="rId24"/>
    <sheet name="CR 2009" sheetId="89" state="hidden" r:id="rId25"/>
    <sheet name="CR 2008" sheetId="90" state="hidden" r:id="rId26"/>
    <sheet name="CR 2007" sheetId="91" state="hidden" r:id="rId27"/>
    <sheet name="CR 2006" sheetId="92" state="hidden" r:id="rId28"/>
    <sheet name="CR 2005" sheetId="93" state="hidden" r:id="rId29"/>
    <sheet name="CR 2004" sheetId="94" state="hidden" r:id="rId30"/>
    <sheet name="CR 2003" sheetId="95" state="hidden" r:id="rId31"/>
    <sheet name="R 2017" sheetId="112" r:id="rId32"/>
    <sheet name="R 2016" sheetId="106" r:id="rId33"/>
    <sheet name="R 2015" sheetId="98" state="hidden" r:id="rId34"/>
    <sheet name="R 2014" sheetId="55" state="hidden" r:id="rId35"/>
    <sheet name="R 2013" sheetId="51" state="hidden" r:id="rId36"/>
    <sheet name="R 2012" sheetId="47" state="hidden" r:id="rId37"/>
    <sheet name="R 2011" sheetId="42" state="hidden" r:id="rId38"/>
    <sheet name="R 2010" sheetId="38" state="hidden" r:id="rId39"/>
    <sheet name="R 2009" sheetId="33" state="hidden" r:id="rId40"/>
    <sheet name="R 2008" sheetId="31" state="hidden" r:id="rId41"/>
    <sheet name="R 2007" sheetId="27" state="hidden" r:id="rId42"/>
    <sheet name="R 2006" sheetId="23" state="hidden" r:id="rId43"/>
    <sheet name="R 2005" sheetId="18" state="hidden" r:id="rId44"/>
    <sheet name="R 2004" sheetId="15" state="hidden" r:id="rId45"/>
    <sheet name="R 2003" sheetId="3" state="hidden" r:id="rId46"/>
    <sheet name="R 2002" sheetId="1" state="hidden" r:id="rId47"/>
    <sheet name="R 2001" sheetId="2" state="hidden" r:id="rId48"/>
    <sheet name="MTRT 2017" sheetId="113" r:id="rId49"/>
    <sheet name="MTRT 2016" sheetId="107" r:id="rId50"/>
    <sheet name="MTRT 2015" sheetId="99" state="hidden" r:id="rId51"/>
    <sheet name="MTRT 2014" sheetId="58" state="hidden" r:id="rId52"/>
    <sheet name="MTRT 2013" sheetId="59" state="hidden" r:id="rId53"/>
    <sheet name="MTRT 2012" sheetId="60" state="hidden" r:id="rId54"/>
    <sheet name="MTRT 2011" sheetId="61" state="hidden" r:id="rId55"/>
    <sheet name="MTRT 2010" sheetId="62" state="hidden" r:id="rId56"/>
    <sheet name="MTRT 2009" sheetId="63" state="hidden" r:id="rId57"/>
    <sheet name="MTRT 2008" sheetId="64" state="hidden" r:id="rId58"/>
    <sheet name="MTRT 2007" sheetId="65" state="hidden" r:id="rId59"/>
    <sheet name="MTRT 2006" sheetId="66" state="hidden" r:id="rId60"/>
    <sheet name="MTRT 2005" sheetId="67" state="hidden" r:id="rId61"/>
    <sheet name="MTRT 2004" sheetId="68" state="hidden" r:id="rId62"/>
    <sheet name="MTRT 2003" sheetId="69" state="hidden" r:id="rId63"/>
    <sheet name="MTRT 2002" sheetId="70" state="hidden" r:id="rId64"/>
    <sheet name="TRT 2017" sheetId="114" r:id="rId65"/>
    <sheet name="TRT 2016" sheetId="108" r:id="rId66"/>
    <sheet name="TRT 2015" sheetId="100" state="hidden" r:id="rId67"/>
    <sheet name="TRT 2014" sheetId="56" state="hidden" r:id="rId68"/>
    <sheet name="TRT 2013" sheetId="52" state="hidden" r:id="rId69"/>
    <sheet name="TRT 2012" sheetId="49" state="hidden" r:id="rId70"/>
    <sheet name="TRT 2011" sheetId="44" state="hidden" r:id="rId71"/>
    <sheet name="TRT 2010" sheetId="40" state="hidden" r:id="rId72"/>
    <sheet name="TRT 2009" sheetId="35" state="hidden" r:id="rId73"/>
    <sheet name="TRT 2008" sheetId="29" state="hidden" r:id="rId74"/>
    <sheet name="TRT 2007" sheetId="25" state="hidden" r:id="rId75"/>
    <sheet name="TRT 2006" sheetId="21" state="hidden" r:id="rId76"/>
    <sheet name="TRT 2005" sheetId="20" state="hidden" r:id="rId77"/>
    <sheet name="TRT 2004" sheetId="13" state="hidden" r:id="rId78"/>
    <sheet name="TRT 2003" sheetId="8" state="hidden" r:id="rId79"/>
    <sheet name="TRT 2002" sheetId="7" state="hidden" r:id="rId80"/>
    <sheet name="RC 2017" sheetId="115" r:id="rId81"/>
    <sheet name="RC 2016" sheetId="109" r:id="rId82"/>
    <sheet name="RC 2015" sheetId="101" state="hidden" r:id="rId83"/>
    <sheet name="RC 2014" sheetId="71" state="hidden" r:id="rId84"/>
    <sheet name="RC 2013" sheetId="72" state="hidden" r:id="rId85"/>
    <sheet name="RC 2012" sheetId="73" state="hidden" r:id="rId86"/>
    <sheet name="RC 2011" sheetId="74" state="hidden" r:id="rId87"/>
    <sheet name="RC 2010" sheetId="75" state="hidden" r:id="rId88"/>
    <sheet name="RC 2009" sheetId="76" state="hidden" r:id="rId89"/>
    <sheet name="RC 2008" sheetId="77" state="hidden" r:id="rId90"/>
    <sheet name="RC 2007" sheetId="78" state="hidden" r:id="rId91"/>
    <sheet name="RC 2006" sheetId="79" state="hidden" r:id="rId92"/>
    <sheet name="RC 2005" sheetId="80" state="hidden" r:id="rId93"/>
    <sheet name="RC 2004" sheetId="81" state="hidden" r:id="rId94"/>
    <sheet name="RC 2003" sheetId="82" state="hidden" r:id="rId95"/>
    <sheet name="RC 2002" sheetId="83" state="hidden" r:id="rId96"/>
    <sheet name="VIZ" sheetId="103" r:id="rId97"/>
  </sheets>
  <definedNames>
    <definedName name="_xlnm._FilterDatabase" localSheetId="2" hidden="1">'TOTAL 2015'!$A$3:$Q$34</definedName>
    <definedName name="_xlnm._FilterDatabase" localSheetId="1" hidden="1">'TOTAL 2016'!$A$3:$Q$34</definedName>
    <definedName name="_xlnm._FilterDatabase" localSheetId="0" hidden="1">'TOTAL 2017'!$A$3:$Q$34</definedName>
    <definedName name="GetChart" localSheetId="17">IF(#REF!="TOTAL",INDIRECT(VIZ!$A$1),IF(#REF!="Car Rental",INDIRECT(VIZ!$A$2),INDIRECT(VIZ!$A$2)))</definedName>
    <definedName name="GetChart" localSheetId="16">IF(#REF!="TOTAL",INDIRECT(VIZ!$A$1),IF(#REF!="Car Rental",INDIRECT(VIZ!$A$2),INDIRECT(VIZ!$A$2)))</definedName>
    <definedName name="GetChart" localSheetId="49">IF(#REF!="TOTAL",INDIRECT(VIZ!$A$1),IF(#REF!="Car Rental",INDIRECT(VIZ!$A$2),INDIRECT(VIZ!$A$2)))</definedName>
    <definedName name="GetChart" localSheetId="48">IF(#REF!="TOTAL",INDIRECT(VIZ!$A$1),IF(#REF!="Car Rental",INDIRECT(VIZ!$A$2),INDIRECT(VIZ!$A$2)))</definedName>
    <definedName name="GetChart" localSheetId="32">IF(#REF!="TOTAL",INDIRECT(VIZ!$A$1),IF(#REF!="Car Rental",INDIRECT(VIZ!$A$2),INDIRECT(VIZ!$A$2)))</definedName>
    <definedName name="GetChart" localSheetId="31">IF(#REF!="TOTAL",INDIRECT(VIZ!$A$1),IF(#REF!="Car Rental",INDIRECT(VIZ!$A$2),INDIRECT(VIZ!$A$2)))</definedName>
    <definedName name="GetChart" localSheetId="81">IF(#REF!="TOTAL",INDIRECT(VIZ!$A$1),IF(#REF!="Car Rental",INDIRECT(VIZ!$A$2),INDIRECT(VIZ!$A$2)))</definedName>
    <definedName name="GetChart" localSheetId="80">IF(#REF!="TOTAL",INDIRECT(VIZ!$A$1),IF(#REF!="Car Rental",INDIRECT(VIZ!$A$2),INDIRECT(VIZ!$A$2)))</definedName>
    <definedName name="GetChart" localSheetId="1">IF(#REF!="TOTAL",INDIRECT(VIZ!$A$1),IF(#REF!="Car Rental",INDIRECT(VIZ!$A$2),INDIRECT(VIZ!$A$2)))</definedName>
    <definedName name="GetChart" localSheetId="0">IF(#REF!="TOTAL",INDIRECT(VIZ!$A$1),IF(#REF!="Car Rental",INDIRECT(VIZ!$A$2),INDIRECT(VIZ!$A$2)))</definedName>
    <definedName name="GetChart" localSheetId="65">IF(#REF!="TOTAL",INDIRECT(VIZ!$A$1),IF(#REF!="Car Rental",INDIRECT(VIZ!$A$2),INDIRECT(VIZ!$A$2)))</definedName>
    <definedName name="GetChart" localSheetId="64">IF(#REF!="TOTAL",INDIRECT(VIZ!$A$1),IF(#REF!="Car Rental",INDIRECT(VIZ!$A$2),INDIRECT(VIZ!$A$2)))</definedName>
    <definedName name="GetChart">IF(#REF!="TOTAL",INDIRECT(VIZ!$A$1),IF(#REF!="Car Rental",INDIRECT(VIZ!$A$2),INDIRECT(VIZ!$A$2)))</definedName>
    <definedName name="_xlnm.Print_Area" localSheetId="54">'MTRT 2011'!$A$1:$P$65</definedName>
    <definedName name="_xlnm.Print_Area" localSheetId="53">'MTRT 2012'!$A$1:$P$68</definedName>
    <definedName name="_xlnm.Print_Area" localSheetId="52">'MTRT 2013'!$A$1:$P$100</definedName>
    <definedName name="_xlnm.Print_Area" localSheetId="51">'MTRT 2014'!$A$1:$P$102</definedName>
    <definedName name="_xlnm.Print_Area" localSheetId="50">'MTRT 2015'!$A$1:$P$103</definedName>
    <definedName name="_xlnm.Print_Area" localSheetId="49">'MTRT 2016'!$A$1:$P$104</definedName>
    <definedName name="_xlnm.Print_Area" localSheetId="48">'MTRT 2017'!$A$1:$P$107</definedName>
    <definedName name="_xlnm.Print_Area" localSheetId="36">'R 2012'!$A$1:$P$34</definedName>
    <definedName name="_xlnm.Print_Area" localSheetId="35">'R 2013'!$A$1:$P$40</definedName>
    <definedName name="_xlnm.Print_Area" localSheetId="34">'R 2014'!$A$1:$P$41</definedName>
    <definedName name="_xlnm.Print_Area" localSheetId="33">'R 2015'!$A$1:$P$41</definedName>
    <definedName name="_xlnm.Print_Area" localSheetId="32">'R 2016'!$A$1:$P$41</definedName>
    <definedName name="_xlnm.Print_Area" localSheetId="31">'R 2017'!$A$1:$P$41</definedName>
    <definedName name="_xlnm.Print_Area" localSheetId="84">'RC 2013'!$A$1:$P$34</definedName>
    <definedName name="_xlnm.Print_Area" localSheetId="83">'RC 2014'!$A$1:$P$32</definedName>
    <definedName name="_xlnm.Print_Area" localSheetId="82">'RC 2015'!$A$1:$P$32</definedName>
    <definedName name="_xlnm.Print_Area" localSheetId="81">'RC 2016'!$A$1:$P$33</definedName>
    <definedName name="_xlnm.Print_Area" localSheetId="80">'RC 2017'!$A$1:$P$33</definedName>
    <definedName name="_xlnm.Print_Area" localSheetId="7">'TOTAL 2010'!$A$1:$Q$35</definedName>
    <definedName name="_xlnm.Print_Area" localSheetId="6">'TOTAL 2011'!$A$1:$Q$35</definedName>
    <definedName name="_xlnm.Print_Area" localSheetId="5">'TOTAL 2012'!$A$1:$Q$35</definedName>
    <definedName name="_xlnm.Print_Area" localSheetId="4">'TOTAL 2013'!$A$1:$Q$40</definedName>
    <definedName name="_xlnm.Print_Area" localSheetId="3">'TOTAL 2014'!$A$1:$Q$40</definedName>
    <definedName name="_xlnm.Print_Area" localSheetId="2">'TOTAL 2015'!$A$1:$Q$40</definedName>
    <definedName name="_xlnm.Print_Area" localSheetId="1">'TOTAL 2016'!$A$1:$Q$40</definedName>
    <definedName name="_xlnm.Print_Area" localSheetId="0">'TOTAL 2017'!$A$1:$Q$40</definedName>
    <definedName name="_xlnm.Print_Area" localSheetId="75">'TRT 2006'!$A$1:$P$40</definedName>
    <definedName name="_xlnm.Print_Area" localSheetId="69">'TRT 2012'!$A$1:$P$43</definedName>
    <definedName name="_xlnm.Print_Area" localSheetId="68">'TRT 2013'!$A$1:$P$45</definedName>
    <definedName name="_xlnm.Print_Area" localSheetId="67">'TRT 2014'!$A$1:$P$45</definedName>
    <definedName name="_xlnm.Print_Area" localSheetId="66">'TRT 2015'!$A$1:$P$45</definedName>
    <definedName name="_xlnm.Print_Area" localSheetId="65">'TRT 2016'!$A$1:$P$45</definedName>
    <definedName name="_xlnm.Print_Area" localSheetId="64">'TRT 2017'!$A$1:$P$45</definedName>
    <definedName name="_xlnm.Print_Titles" localSheetId="54">'MTRT 2011'!$1:$2</definedName>
    <definedName name="_xlnm.Print_Titles" localSheetId="53">'MTRT 2012'!$1:$2</definedName>
    <definedName name="_xlnm.Print_Titles" localSheetId="52">'MTRT 2013'!$1:$3</definedName>
    <definedName name="_xlnm.Print_Titles" localSheetId="51">'MTRT 2014'!$1:$3</definedName>
    <definedName name="_xlnm.Print_Titles" localSheetId="50">'MTRT 2015'!$1:$3</definedName>
    <definedName name="_xlnm.Print_Titles" localSheetId="49">'MTRT 2016'!$1:$3</definedName>
    <definedName name="_xlnm.Print_Titles" localSheetId="48">'MTRT 2017'!$1:$3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" i="114" l="1"/>
  <c r="O7" i="114"/>
  <c r="O8" i="114"/>
  <c r="O9" i="114"/>
  <c r="O10" i="114"/>
  <c r="O11" i="114"/>
  <c r="O12" i="114"/>
  <c r="O13" i="114"/>
  <c r="O14" i="114"/>
  <c r="O15" i="114"/>
  <c r="O16" i="114"/>
  <c r="O17" i="114"/>
  <c r="O18" i="114"/>
  <c r="O19" i="114"/>
  <c r="O20" i="114"/>
  <c r="O21" i="114"/>
  <c r="O22" i="114"/>
  <c r="O23" i="114"/>
  <c r="O24" i="114"/>
  <c r="O25" i="114"/>
  <c r="O26" i="114"/>
  <c r="O27" i="114"/>
  <c r="O28" i="114"/>
  <c r="O29" i="114"/>
  <c r="O30" i="114"/>
  <c r="O31" i="114"/>
  <c r="O32" i="114"/>
  <c r="O5" i="114"/>
  <c r="O4" i="114"/>
  <c r="O6" i="110"/>
  <c r="O7" i="110"/>
  <c r="O8" i="110"/>
  <c r="O9" i="110"/>
  <c r="O10" i="110"/>
  <c r="O11" i="110"/>
  <c r="O12" i="110"/>
  <c r="O13" i="110"/>
  <c r="O14" i="110"/>
  <c r="O15" i="110"/>
  <c r="O16" i="110"/>
  <c r="O17" i="110"/>
  <c r="O18" i="110"/>
  <c r="O19" i="110"/>
  <c r="O20" i="110"/>
  <c r="O21" i="110"/>
  <c r="O22" i="110"/>
  <c r="O23" i="110"/>
  <c r="O24" i="110"/>
  <c r="O25" i="110"/>
  <c r="O26" i="110"/>
  <c r="O27" i="110"/>
  <c r="O28" i="110"/>
  <c r="O29" i="110"/>
  <c r="O30" i="110"/>
  <c r="O31" i="110"/>
  <c r="O32" i="110"/>
  <c r="O5" i="110"/>
  <c r="O4" i="110"/>
  <c r="O106" i="113"/>
  <c r="O105" i="113"/>
  <c r="O104" i="113"/>
  <c r="O103" i="113"/>
  <c r="O102" i="113"/>
  <c r="O101" i="113"/>
  <c r="O100" i="113"/>
  <c r="O99" i="113"/>
  <c r="O98" i="113"/>
  <c r="O97" i="113"/>
  <c r="O96" i="113"/>
  <c r="O95" i="113"/>
  <c r="O94" i="113"/>
  <c r="O93" i="113"/>
  <c r="O92" i="113"/>
  <c r="O91" i="113"/>
  <c r="O90" i="113"/>
  <c r="O89" i="113"/>
  <c r="O88" i="113"/>
  <c r="O87" i="113"/>
  <c r="O86" i="113"/>
  <c r="O85" i="113"/>
  <c r="O84" i="113"/>
  <c r="O83" i="113"/>
  <c r="O82" i="113"/>
  <c r="O81" i="113"/>
  <c r="O80" i="113"/>
  <c r="O79" i="113"/>
  <c r="O78" i="113"/>
  <c r="O77" i="113"/>
  <c r="O76" i="113"/>
  <c r="O75" i="113"/>
  <c r="O74" i="113"/>
  <c r="O73" i="113"/>
  <c r="O72" i="113"/>
  <c r="O71" i="113"/>
  <c r="O70" i="113"/>
  <c r="O69" i="113"/>
  <c r="O68" i="113"/>
  <c r="O67" i="113"/>
  <c r="O65" i="113"/>
  <c r="O64" i="113"/>
  <c r="O63" i="113"/>
  <c r="O62" i="113"/>
  <c r="O61" i="113"/>
  <c r="O60" i="113"/>
  <c r="O59" i="113"/>
  <c r="O58" i="113"/>
  <c r="O57" i="113"/>
  <c r="O56" i="113"/>
  <c r="O55" i="113"/>
  <c r="O54" i="113"/>
  <c r="O52" i="113"/>
  <c r="O51" i="113"/>
  <c r="O50" i="113"/>
  <c r="O49" i="113"/>
  <c r="O48" i="113"/>
  <c r="O47" i="113"/>
  <c r="O46" i="113"/>
  <c r="O44" i="113"/>
  <c r="O43" i="113"/>
  <c r="O42" i="113"/>
  <c r="O41" i="113"/>
  <c r="O40" i="113"/>
  <c r="O39" i="113"/>
  <c r="O38" i="113"/>
  <c r="O37" i="113"/>
  <c r="O36" i="113"/>
  <c r="O35" i="113"/>
  <c r="O34" i="113"/>
  <c r="O33" i="113"/>
  <c r="O32" i="113"/>
  <c r="O31" i="113"/>
  <c r="O30" i="113"/>
  <c r="O29" i="113"/>
  <c r="O28" i="113"/>
  <c r="O27" i="113"/>
  <c r="O26" i="113"/>
  <c r="O25" i="113"/>
  <c r="O20" i="113"/>
  <c r="O21" i="113"/>
  <c r="O22" i="113"/>
  <c r="O23" i="113"/>
  <c r="O24" i="113"/>
  <c r="O19" i="113"/>
  <c r="O18" i="113"/>
  <c r="O17" i="113"/>
  <c r="O16" i="113"/>
  <c r="O15" i="113"/>
  <c r="O14" i="113"/>
  <c r="O12" i="113"/>
  <c r="O11" i="113"/>
  <c r="O13" i="113"/>
  <c r="O10" i="113"/>
  <c r="O9" i="113"/>
  <c r="O8" i="113"/>
  <c r="O7" i="113"/>
  <c r="O6" i="113"/>
  <c r="O5" i="113"/>
  <c r="O4" i="113"/>
  <c r="O39" i="114"/>
  <c r="O6" i="115"/>
  <c r="O7" i="115"/>
  <c r="O8" i="115"/>
  <c r="O9" i="115"/>
  <c r="O10" i="115"/>
  <c r="O11" i="115"/>
  <c r="O12" i="115"/>
  <c r="O13" i="115"/>
  <c r="O14" i="115"/>
  <c r="O15" i="115"/>
  <c r="O16" i="115"/>
  <c r="O17" i="115"/>
  <c r="O18" i="115"/>
  <c r="O19" i="115"/>
  <c r="O20" i="115"/>
  <c r="O21" i="115"/>
  <c r="O5" i="115"/>
  <c r="O4" i="115"/>
  <c r="P6" i="111"/>
  <c r="P7" i="111"/>
  <c r="P8" i="111"/>
  <c r="P9" i="111"/>
  <c r="P10" i="111"/>
  <c r="P11" i="111"/>
  <c r="P12" i="111"/>
  <c r="P13" i="111"/>
  <c r="P5" i="111"/>
  <c r="P4" i="111"/>
  <c r="O31" i="112"/>
  <c r="O30" i="112"/>
  <c r="O29" i="112"/>
  <c r="O28" i="112"/>
  <c r="O27" i="112"/>
  <c r="O26" i="112"/>
  <c r="O25" i="112"/>
  <c r="O24" i="112"/>
  <c r="O23" i="112"/>
  <c r="O22" i="112"/>
  <c r="O21" i="112"/>
  <c r="O20" i="112"/>
  <c r="O19" i="112"/>
  <c r="O18" i="112"/>
  <c r="O17" i="112"/>
  <c r="O16" i="112"/>
  <c r="O15" i="112"/>
  <c r="O14" i="112"/>
  <c r="O13" i="112"/>
  <c r="O12" i="112"/>
  <c r="O11" i="112"/>
  <c r="O10" i="112"/>
  <c r="O9" i="112"/>
  <c r="O8" i="112"/>
  <c r="O7" i="112"/>
  <c r="O6" i="112"/>
  <c r="O5" i="112"/>
  <c r="O4" i="112"/>
  <c r="P17" i="109"/>
  <c r="N97" i="113"/>
  <c r="P97" i="113"/>
  <c r="N66" i="113"/>
  <c r="N53" i="113"/>
  <c r="N8" i="113"/>
  <c r="N5" i="113"/>
  <c r="N7" i="113"/>
  <c r="N9" i="113"/>
  <c r="N11" i="113"/>
  <c r="N12" i="113"/>
  <c r="N15" i="113"/>
  <c r="N18" i="113"/>
  <c r="N19" i="113"/>
  <c r="N20" i="113"/>
  <c r="N21" i="113"/>
  <c r="N22" i="113"/>
  <c r="N23" i="113"/>
  <c r="N24" i="113"/>
  <c r="N26" i="113"/>
  <c r="N28" i="113"/>
  <c r="N30" i="113"/>
  <c r="N32" i="113"/>
  <c r="N34" i="113"/>
  <c r="N35" i="113"/>
  <c r="N37" i="113"/>
  <c r="N39" i="113"/>
  <c r="N40" i="113"/>
  <c r="N42" i="113"/>
  <c r="N43" i="113"/>
  <c r="N49" i="113"/>
  <c r="N50" i="113"/>
  <c r="N51" i="113"/>
  <c r="N52" i="113"/>
  <c r="N54" i="113"/>
  <c r="N55" i="113"/>
  <c r="N56" i="113"/>
  <c r="N57" i="113"/>
  <c r="N58" i="113"/>
  <c r="N59" i="113"/>
  <c r="N60" i="113"/>
  <c r="N62" i="113"/>
  <c r="N63" i="113"/>
  <c r="N67" i="113"/>
  <c r="N68" i="113"/>
  <c r="N71" i="113"/>
  <c r="N73" i="113"/>
  <c r="N74" i="113"/>
  <c r="N75" i="113"/>
  <c r="N77" i="113"/>
  <c r="N78" i="113"/>
  <c r="N79" i="113"/>
  <c r="N80" i="113"/>
  <c r="N81" i="113"/>
  <c r="N82" i="113"/>
  <c r="N84" i="113"/>
  <c r="N85" i="113"/>
  <c r="N87" i="113"/>
  <c r="N88" i="113"/>
  <c r="N89" i="113"/>
  <c r="N90" i="113"/>
  <c r="N91" i="113"/>
  <c r="N92" i="113"/>
  <c r="N93" i="113"/>
  <c r="N94" i="113"/>
  <c r="N95" i="113"/>
  <c r="N98" i="113"/>
  <c r="N100" i="113"/>
  <c r="N101" i="113"/>
  <c r="N102" i="113"/>
  <c r="N103" i="113"/>
  <c r="N104" i="113"/>
  <c r="N105" i="113"/>
  <c r="N106" i="113"/>
  <c r="Q53" i="113"/>
  <c r="Q66" i="113"/>
  <c r="Q94" i="107"/>
  <c r="N94" i="107"/>
  <c r="O93" i="107"/>
  <c r="N95" i="107"/>
  <c r="Q97" i="113"/>
  <c r="N17" i="115"/>
  <c r="P17" i="115"/>
  <c r="N96" i="113"/>
  <c r="P96" i="113"/>
  <c r="B32" i="108"/>
  <c r="C32" i="108"/>
  <c r="D32" i="108"/>
  <c r="E32" i="108"/>
  <c r="F32" i="108"/>
  <c r="G32" i="108"/>
  <c r="H32" i="108"/>
  <c r="B6" i="108"/>
  <c r="C6" i="108"/>
  <c r="D6" i="108"/>
  <c r="E6" i="108"/>
  <c r="F6" i="108"/>
  <c r="G6" i="108"/>
  <c r="H6" i="108"/>
  <c r="B7" i="108"/>
  <c r="C7" i="108"/>
  <c r="D7" i="108"/>
  <c r="E7" i="108"/>
  <c r="F7" i="108"/>
  <c r="G7" i="108"/>
  <c r="H7" i="108"/>
  <c r="B8" i="108"/>
  <c r="C8" i="108"/>
  <c r="D8" i="108"/>
  <c r="E8" i="108"/>
  <c r="F8" i="108"/>
  <c r="G8" i="108"/>
  <c r="H8" i="108"/>
  <c r="B9" i="108"/>
  <c r="C9" i="108"/>
  <c r="D9" i="108"/>
  <c r="E9" i="108"/>
  <c r="F9" i="108"/>
  <c r="G9" i="108"/>
  <c r="H9" i="108"/>
  <c r="B10" i="108"/>
  <c r="C10" i="108"/>
  <c r="D10" i="108"/>
  <c r="E10" i="108"/>
  <c r="F10" i="108"/>
  <c r="G10" i="108"/>
  <c r="H10" i="108"/>
  <c r="B11" i="108"/>
  <c r="C11" i="108"/>
  <c r="D11" i="108"/>
  <c r="E11" i="108"/>
  <c r="F11" i="108"/>
  <c r="G11" i="108"/>
  <c r="H11" i="108"/>
  <c r="B12" i="108"/>
  <c r="C12" i="108"/>
  <c r="D12" i="108"/>
  <c r="E12" i="108"/>
  <c r="F12" i="108"/>
  <c r="G12" i="108"/>
  <c r="H12" i="108"/>
  <c r="B13" i="108"/>
  <c r="C13" i="108"/>
  <c r="D13" i="108"/>
  <c r="E13" i="108"/>
  <c r="F13" i="108"/>
  <c r="G13" i="108"/>
  <c r="H13" i="108"/>
  <c r="B14" i="108"/>
  <c r="C14" i="108"/>
  <c r="D14" i="108"/>
  <c r="E14" i="108"/>
  <c r="F14" i="108"/>
  <c r="G14" i="108"/>
  <c r="H14" i="108"/>
  <c r="B15" i="108"/>
  <c r="C15" i="108"/>
  <c r="D15" i="108"/>
  <c r="E15" i="108"/>
  <c r="F15" i="108"/>
  <c r="G15" i="108"/>
  <c r="H15" i="108"/>
  <c r="B16" i="108"/>
  <c r="C16" i="108"/>
  <c r="D16" i="108"/>
  <c r="E16" i="108"/>
  <c r="F16" i="108"/>
  <c r="G16" i="108"/>
  <c r="H16" i="108"/>
  <c r="B17" i="108"/>
  <c r="C17" i="108"/>
  <c r="D17" i="108"/>
  <c r="E17" i="108"/>
  <c r="F17" i="108"/>
  <c r="G17" i="108"/>
  <c r="H17" i="108"/>
  <c r="B18" i="108"/>
  <c r="C18" i="108"/>
  <c r="D18" i="108"/>
  <c r="E18" i="108"/>
  <c r="F18" i="108"/>
  <c r="G18" i="108"/>
  <c r="H18" i="108"/>
  <c r="B19" i="108"/>
  <c r="C19" i="108"/>
  <c r="D19" i="108"/>
  <c r="E19" i="108"/>
  <c r="F19" i="108"/>
  <c r="G19" i="108"/>
  <c r="H19" i="108"/>
  <c r="B20" i="108"/>
  <c r="C20" i="108"/>
  <c r="D20" i="108"/>
  <c r="E20" i="108"/>
  <c r="F20" i="108"/>
  <c r="G20" i="108"/>
  <c r="H20" i="108"/>
  <c r="B21" i="108"/>
  <c r="C21" i="108"/>
  <c r="D21" i="108"/>
  <c r="E21" i="108"/>
  <c r="F21" i="108"/>
  <c r="G21" i="108"/>
  <c r="H21" i="108"/>
  <c r="B22" i="108"/>
  <c r="C22" i="108"/>
  <c r="D22" i="108"/>
  <c r="E22" i="108"/>
  <c r="F22" i="108"/>
  <c r="G22" i="108"/>
  <c r="H22" i="108"/>
  <c r="B23" i="108"/>
  <c r="C23" i="108"/>
  <c r="D23" i="108"/>
  <c r="E23" i="108"/>
  <c r="F23" i="108"/>
  <c r="G23" i="108"/>
  <c r="H23" i="108"/>
  <c r="B24" i="108"/>
  <c r="C24" i="108"/>
  <c r="D24" i="108"/>
  <c r="E24" i="108"/>
  <c r="F24" i="108"/>
  <c r="G24" i="108"/>
  <c r="H24" i="108"/>
  <c r="B25" i="108"/>
  <c r="C25" i="108"/>
  <c r="D25" i="108"/>
  <c r="E25" i="108"/>
  <c r="F25" i="108"/>
  <c r="G25" i="108"/>
  <c r="H25" i="108"/>
  <c r="B26" i="108"/>
  <c r="C26" i="108"/>
  <c r="D26" i="108"/>
  <c r="E26" i="108"/>
  <c r="F26" i="108"/>
  <c r="G26" i="108"/>
  <c r="H26" i="108"/>
  <c r="B27" i="108"/>
  <c r="C27" i="108"/>
  <c r="D27" i="108"/>
  <c r="E27" i="108"/>
  <c r="F27" i="108"/>
  <c r="G27" i="108"/>
  <c r="H27" i="108"/>
  <c r="B28" i="108"/>
  <c r="C28" i="108"/>
  <c r="D28" i="108"/>
  <c r="E28" i="108"/>
  <c r="F28" i="108"/>
  <c r="G28" i="108"/>
  <c r="H28" i="108"/>
  <c r="B29" i="108"/>
  <c r="C29" i="108"/>
  <c r="D29" i="108"/>
  <c r="E29" i="108"/>
  <c r="F29" i="108"/>
  <c r="G29" i="108"/>
  <c r="H29" i="108"/>
  <c r="B30" i="108"/>
  <c r="C30" i="108"/>
  <c r="D30" i="108"/>
  <c r="E30" i="108"/>
  <c r="F30" i="108"/>
  <c r="G30" i="108"/>
  <c r="H30" i="108"/>
  <c r="B31" i="108"/>
  <c r="C31" i="108"/>
  <c r="D31" i="108"/>
  <c r="E31" i="108"/>
  <c r="F31" i="108"/>
  <c r="G31" i="108"/>
  <c r="H31" i="108"/>
  <c r="B5" i="108"/>
  <c r="C5" i="108"/>
  <c r="D5" i="108"/>
  <c r="E5" i="108"/>
  <c r="F5" i="108"/>
  <c r="G5" i="108"/>
  <c r="H5" i="108"/>
  <c r="B4" i="108"/>
  <c r="C4" i="108"/>
  <c r="D4" i="108"/>
  <c r="E4" i="108"/>
  <c r="F4" i="108"/>
  <c r="G4" i="108"/>
  <c r="H4" i="108"/>
  <c r="B6" i="104"/>
  <c r="C6" i="104"/>
  <c r="D6" i="104"/>
  <c r="E6" i="104"/>
  <c r="F6" i="104"/>
  <c r="G6" i="104"/>
  <c r="H6" i="104"/>
  <c r="B7" i="104"/>
  <c r="C7" i="104"/>
  <c r="D7" i="104"/>
  <c r="E7" i="104"/>
  <c r="F7" i="104"/>
  <c r="G7" i="104"/>
  <c r="H7" i="104"/>
  <c r="B8" i="104"/>
  <c r="C8" i="104"/>
  <c r="D8" i="104"/>
  <c r="E8" i="104"/>
  <c r="F8" i="104"/>
  <c r="G8" i="104"/>
  <c r="H8" i="104"/>
  <c r="B9" i="104"/>
  <c r="C9" i="104"/>
  <c r="D9" i="104"/>
  <c r="E9" i="104"/>
  <c r="F9" i="104"/>
  <c r="G9" i="104"/>
  <c r="H9" i="104"/>
  <c r="B10" i="104"/>
  <c r="C10" i="104"/>
  <c r="D10" i="104"/>
  <c r="E10" i="104"/>
  <c r="F10" i="104"/>
  <c r="G10" i="104"/>
  <c r="H10" i="104"/>
  <c r="B11" i="104"/>
  <c r="C11" i="104"/>
  <c r="D11" i="104"/>
  <c r="E11" i="104"/>
  <c r="F11" i="104"/>
  <c r="G11" i="104"/>
  <c r="H11" i="104"/>
  <c r="B12" i="104"/>
  <c r="C12" i="104"/>
  <c r="D12" i="104"/>
  <c r="E12" i="104"/>
  <c r="F12" i="104"/>
  <c r="G12" i="104"/>
  <c r="H12" i="104"/>
  <c r="B13" i="104"/>
  <c r="C13" i="104"/>
  <c r="D13" i="104"/>
  <c r="E13" i="104"/>
  <c r="F13" i="104"/>
  <c r="G13" i="104"/>
  <c r="H13" i="104"/>
  <c r="B14" i="104"/>
  <c r="C14" i="104"/>
  <c r="D14" i="104"/>
  <c r="E14" i="104"/>
  <c r="F14" i="104"/>
  <c r="G14" i="104"/>
  <c r="H14" i="104"/>
  <c r="B15" i="104"/>
  <c r="C15" i="104"/>
  <c r="D15" i="104"/>
  <c r="E15" i="104"/>
  <c r="F15" i="104"/>
  <c r="G15" i="104"/>
  <c r="H15" i="104"/>
  <c r="B16" i="104"/>
  <c r="C16" i="104"/>
  <c r="D16" i="104"/>
  <c r="E16" i="104"/>
  <c r="F16" i="104"/>
  <c r="G16" i="104"/>
  <c r="H16" i="104"/>
  <c r="B17" i="104"/>
  <c r="C17" i="104"/>
  <c r="D17" i="104"/>
  <c r="E17" i="104"/>
  <c r="F17" i="104"/>
  <c r="G17" i="104"/>
  <c r="H17" i="104"/>
  <c r="B18" i="104"/>
  <c r="C18" i="104"/>
  <c r="D18" i="104"/>
  <c r="E18" i="104"/>
  <c r="F18" i="104"/>
  <c r="G18" i="104"/>
  <c r="H18" i="104"/>
  <c r="B19" i="104"/>
  <c r="C19" i="104"/>
  <c r="D19" i="104"/>
  <c r="E19" i="104"/>
  <c r="F19" i="104"/>
  <c r="G19" i="104"/>
  <c r="H19" i="104"/>
  <c r="B20" i="104"/>
  <c r="C20" i="104"/>
  <c r="D20" i="104"/>
  <c r="E20" i="104"/>
  <c r="F20" i="104"/>
  <c r="G20" i="104"/>
  <c r="H20" i="104"/>
  <c r="B21" i="104"/>
  <c r="C21" i="104"/>
  <c r="D21" i="104"/>
  <c r="E21" i="104"/>
  <c r="F21" i="104"/>
  <c r="G21" i="104"/>
  <c r="H21" i="104"/>
  <c r="B22" i="104"/>
  <c r="C22" i="104"/>
  <c r="D22" i="104"/>
  <c r="E22" i="104"/>
  <c r="F22" i="104"/>
  <c r="G22" i="104"/>
  <c r="H22" i="104"/>
  <c r="B23" i="104"/>
  <c r="C23" i="104"/>
  <c r="D23" i="104"/>
  <c r="E23" i="104"/>
  <c r="F23" i="104"/>
  <c r="G23" i="104"/>
  <c r="H23" i="104"/>
  <c r="B24" i="104"/>
  <c r="C24" i="104"/>
  <c r="D24" i="104"/>
  <c r="E24" i="104"/>
  <c r="F24" i="104"/>
  <c r="G24" i="104"/>
  <c r="H24" i="104"/>
  <c r="B25" i="104"/>
  <c r="C25" i="104"/>
  <c r="D25" i="104"/>
  <c r="E25" i="104"/>
  <c r="F25" i="104"/>
  <c r="G25" i="104"/>
  <c r="H25" i="104"/>
  <c r="B26" i="104"/>
  <c r="C26" i="104"/>
  <c r="D26" i="104"/>
  <c r="E26" i="104"/>
  <c r="F26" i="104"/>
  <c r="G26" i="104"/>
  <c r="H26" i="104"/>
  <c r="B27" i="104"/>
  <c r="C27" i="104"/>
  <c r="D27" i="104"/>
  <c r="E27" i="104"/>
  <c r="F27" i="104"/>
  <c r="G27" i="104"/>
  <c r="H27" i="104"/>
  <c r="B28" i="104"/>
  <c r="C28" i="104"/>
  <c r="D28" i="104"/>
  <c r="E28" i="104"/>
  <c r="F28" i="104"/>
  <c r="G28" i="104"/>
  <c r="H28" i="104"/>
  <c r="B29" i="104"/>
  <c r="C29" i="104"/>
  <c r="D29" i="104"/>
  <c r="E29" i="104"/>
  <c r="F29" i="104"/>
  <c r="G29" i="104"/>
  <c r="H29" i="104"/>
  <c r="B30" i="104"/>
  <c r="C30" i="104"/>
  <c r="D30" i="104"/>
  <c r="E30" i="104"/>
  <c r="F30" i="104"/>
  <c r="G30" i="104"/>
  <c r="H30" i="104"/>
  <c r="B31" i="104"/>
  <c r="C31" i="104"/>
  <c r="D31" i="104"/>
  <c r="E31" i="104"/>
  <c r="F31" i="104"/>
  <c r="G31" i="104"/>
  <c r="H31" i="104"/>
  <c r="B32" i="104"/>
  <c r="C32" i="104"/>
  <c r="D32" i="104"/>
  <c r="E32" i="104"/>
  <c r="F32" i="104"/>
  <c r="G32" i="104"/>
  <c r="H32" i="104"/>
  <c r="B5" i="104"/>
  <c r="C5" i="104"/>
  <c r="D5" i="104"/>
  <c r="E5" i="104"/>
  <c r="F5" i="104"/>
  <c r="G5" i="104"/>
  <c r="H5" i="104"/>
  <c r="B4" i="104"/>
  <c r="C4" i="104"/>
  <c r="D4" i="104"/>
  <c r="E4" i="104"/>
  <c r="F4" i="104"/>
  <c r="G4" i="104"/>
  <c r="H4" i="104"/>
  <c r="P17" i="106"/>
  <c r="N17" i="112"/>
  <c r="P17" i="112"/>
  <c r="H4" i="111"/>
  <c r="H7" i="111"/>
  <c r="N47" i="113"/>
  <c r="P47" i="113"/>
  <c r="N48" i="113"/>
  <c r="P48" i="113"/>
  <c r="P49" i="113"/>
  <c r="P50" i="113"/>
  <c r="P51" i="113"/>
  <c r="P52" i="113"/>
  <c r="P54" i="113"/>
  <c r="P55" i="113"/>
  <c r="P56" i="113"/>
  <c r="P57" i="113"/>
  <c r="P58" i="113"/>
  <c r="P59" i="113"/>
  <c r="P60" i="113"/>
  <c r="N61" i="113"/>
  <c r="P61" i="113"/>
  <c r="P62" i="113"/>
  <c r="P63" i="113"/>
  <c r="N64" i="113"/>
  <c r="P64" i="113"/>
  <c r="N65" i="113"/>
  <c r="P65" i="113"/>
  <c r="P67" i="113"/>
  <c r="P68" i="113"/>
  <c r="N69" i="113"/>
  <c r="P69" i="113"/>
  <c r="N70" i="113"/>
  <c r="P70" i="113"/>
  <c r="P71" i="113"/>
  <c r="N72" i="113"/>
  <c r="P72" i="113"/>
  <c r="P73" i="113"/>
  <c r="P74" i="113"/>
  <c r="P75" i="113"/>
  <c r="N76" i="113"/>
  <c r="P76" i="113"/>
  <c r="P77" i="113"/>
  <c r="P78" i="113"/>
  <c r="P79" i="113"/>
  <c r="P80" i="113"/>
  <c r="P81" i="113"/>
  <c r="P82" i="113"/>
  <c r="N83" i="113"/>
  <c r="P83" i="113"/>
  <c r="P84" i="113"/>
  <c r="P85" i="113"/>
  <c r="N86" i="113"/>
  <c r="P86" i="113"/>
  <c r="P87" i="113"/>
  <c r="P88" i="113"/>
  <c r="P89" i="113"/>
  <c r="P90" i="113"/>
  <c r="P91" i="113"/>
  <c r="P92" i="113"/>
  <c r="P93" i="113"/>
  <c r="P94" i="113"/>
  <c r="P95" i="113"/>
  <c r="P98" i="113"/>
  <c r="N99" i="113"/>
  <c r="P99" i="113"/>
  <c r="P100" i="113"/>
  <c r="P101" i="113"/>
  <c r="P102" i="113"/>
  <c r="P103" i="113"/>
  <c r="P104" i="113"/>
  <c r="P105" i="113"/>
  <c r="N46" i="113"/>
  <c r="P46" i="113"/>
  <c r="N45" i="113"/>
  <c r="F4" i="111"/>
  <c r="E106" i="113"/>
  <c r="F5" i="111"/>
  <c r="F6" i="111"/>
  <c r="F8" i="111"/>
  <c r="F9" i="111"/>
  <c r="F10" i="111"/>
  <c r="F11" i="111"/>
  <c r="F12" i="111"/>
  <c r="F13" i="111"/>
  <c r="Q45" i="113"/>
  <c r="F106" i="113"/>
  <c r="G106" i="113"/>
  <c r="H106" i="113"/>
  <c r="I106" i="113"/>
  <c r="J106" i="113"/>
  <c r="K106" i="113"/>
  <c r="L106" i="113"/>
  <c r="M106" i="113"/>
  <c r="B106" i="113"/>
  <c r="C106" i="113"/>
  <c r="B103" i="107"/>
  <c r="C103" i="107"/>
  <c r="D103" i="107"/>
  <c r="D106" i="113"/>
  <c r="D4" i="114"/>
  <c r="D5" i="114"/>
  <c r="O22" i="115"/>
  <c r="B8" i="114"/>
  <c r="B8" i="110"/>
  <c r="N4" i="115"/>
  <c r="N5" i="115"/>
  <c r="N6" i="115"/>
  <c r="N7" i="115"/>
  <c r="N8" i="115"/>
  <c r="N9" i="115"/>
  <c r="N10" i="115"/>
  <c r="N11" i="115"/>
  <c r="N12" i="115"/>
  <c r="N13" i="115"/>
  <c r="N14" i="115"/>
  <c r="N15" i="115"/>
  <c r="N16" i="115"/>
  <c r="N18" i="115"/>
  <c r="N19" i="115"/>
  <c r="N20" i="115"/>
  <c r="N21" i="115"/>
  <c r="N22" i="115"/>
  <c r="Q4" i="115"/>
  <c r="P4" i="115"/>
  <c r="Q4" i="109"/>
  <c r="P4" i="109"/>
  <c r="G22" i="109"/>
  <c r="H22" i="109"/>
  <c r="I22" i="109"/>
  <c r="J22" i="109"/>
  <c r="K22" i="109"/>
  <c r="L22" i="109"/>
  <c r="M22" i="109"/>
  <c r="N22" i="109"/>
  <c r="N4" i="109"/>
  <c r="F22" i="109"/>
  <c r="E22" i="115"/>
  <c r="F22" i="115"/>
  <c r="G22" i="115"/>
  <c r="H22" i="115"/>
  <c r="I22" i="115"/>
  <c r="J22" i="115"/>
  <c r="K22" i="115"/>
  <c r="L22" i="115"/>
  <c r="M22" i="115"/>
  <c r="D22" i="115"/>
  <c r="B22" i="115"/>
  <c r="C22" i="115"/>
  <c r="C13" i="105"/>
  <c r="D13" i="105"/>
  <c r="C12" i="105"/>
  <c r="D12" i="105"/>
  <c r="C11" i="105"/>
  <c r="D11" i="105"/>
  <c r="C10" i="105"/>
  <c r="D10" i="105"/>
  <c r="C9" i="105"/>
  <c r="D9" i="105"/>
  <c r="C8" i="105"/>
  <c r="D8" i="105"/>
  <c r="C7" i="105"/>
  <c r="D7" i="105"/>
  <c r="C6" i="105"/>
  <c r="D6" i="105"/>
  <c r="C5" i="105"/>
  <c r="D5" i="105"/>
  <c r="C4" i="105"/>
  <c r="D4" i="105"/>
  <c r="D4" i="111"/>
  <c r="D6" i="111"/>
  <c r="D8" i="111"/>
  <c r="D9" i="111"/>
  <c r="D10" i="111"/>
  <c r="D11" i="111"/>
  <c r="D12" i="111"/>
  <c r="D13" i="111"/>
  <c r="D7" i="111"/>
  <c r="M15" i="114"/>
  <c r="M15" i="110"/>
  <c r="L15" i="114"/>
  <c r="L15" i="110"/>
  <c r="K15" i="114"/>
  <c r="K15" i="110"/>
  <c r="J15" i="114"/>
  <c r="J15" i="110"/>
  <c r="I15" i="114"/>
  <c r="I15" i="110"/>
  <c r="H15" i="114"/>
  <c r="H15" i="110"/>
  <c r="G15" i="114"/>
  <c r="G15" i="110"/>
  <c r="F15" i="110"/>
  <c r="E15" i="114"/>
  <c r="E15" i="110"/>
  <c r="D15" i="114"/>
  <c r="D15" i="110"/>
  <c r="C15" i="114"/>
  <c r="C15" i="110"/>
  <c r="B15" i="114"/>
  <c r="B15" i="110"/>
  <c r="M14" i="114"/>
  <c r="M14" i="110"/>
  <c r="L14" i="114"/>
  <c r="L14" i="110"/>
  <c r="K14" i="114"/>
  <c r="K14" i="110"/>
  <c r="J14" i="114"/>
  <c r="J14" i="110"/>
  <c r="I14" i="114"/>
  <c r="I14" i="110"/>
  <c r="H14" i="114"/>
  <c r="H14" i="110"/>
  <c r="G14" i="114"/>
  <c r="G14" i="110"/>
  <c r="F14" i="110"/>
  <c r="E14" i="114"/>
  <c r="E14" i="110"/>
  <c r="D14" i="114"/>
  <c r="D14" i="110"/>
  <c r="C14" i="114"/>
  <c r="C14" i="110"/>
  <c r="B14" i="114"/>
  <c r="B14" i="110"/>
  <c r="N14" i="110"/>
  <c r="M13" i="114"/>
  <c r="N6" i="111"/>
  <c r="M13" i="110"/>
  <c r="L13" i="114"/>
  <c r="M6" i="111"/>
  <c r="L13" i="110"/>
  <c r="K13" i="114"/>
  <c r="L6" i="111"/>
  <c r="K13" i="110"/>
  <c r="J13" i="114"/>
  <c r="K6" i="111"/>
  <c r="J13" i="110"/>
  <c r="I13" i="114"/>
  <c r="J6" i="111"/>
  <c r="I13" i="110"/>
  <c r="H13" i="114"/>
  <c r="I6" i="111"/>
  <c r="H13" i="110"/>
  <c r="G13" i="114"/>
  <c r="H6" i="111"/>
  <c r="G13" i="110"/>
  <c r="G6" i="111"/>
  <c r="F13" i="110"/>
  <c r="E13" i="110"/>
  <c r="D13" i="114"/>
  <c r="E6" i="111"/>
  <c r="D13" i="110"/>
  <c r="C13" i="114"/>
  <c r="C13" i="110"/>
  <c r="B13" i="114"/>
  <c r="C6" i="111"/>
  <c r="B13" i="110"/>
  <c r="N13" i="110"/>
  <c r="M12" i="114"/>
  <c r="M12" i="110"/>
  <c r="L12" i="114"/>
  <c r="L12" i="110"/>
  <c r="K12" i="114"/>
  <c r="K12" i="110"/>
  <c r="J12" i="114"/>
  <c r="J12" i="110"/>
  <c r="I12" i="114"/>
  <c r="I12" i="110"/>
  <c r="H12" i="114"/>
  <c r="H12" i="110"/>
  <c r="G12" i="114"/>
  <c r="G12" i="110"/>
  <c r="F12" i="110"/>
  <c r="E12" i="114"/>
  <c r="E12" i="110"/>
  <c r="D12" i="114"/>
  <c r="D12" i="110"/>
  <c r="C12" i="114"/>
  <c r="C12" i="110"/>
  <c r="B12" i="114"/>
  <c r="B12" i="110"/>
  <c r="N12" i="110"/>
  <c r="M11" i="114"/>
  <c r="M11" i="110"/>
  <c r="L11" i="114"/>
  <c r="L11" i="110"/>
  <c r="K11" i="114"/>
  <c r="K11" i="110"/>
  <c r="J11" i="114"/>
  <c r="J11" i="110"/>
  <c r="I11" i="114"/>
  <c r="I11" i="110"/>
  <c r="H11" i="114"/>
  <c r="H11" i="110"/>
  <c r="G11" i="114"/>
  <c r="G11" i="110"/>
  <c r="F11" i="110"/>
  <c r="E11" i="114"/>
  <c r="E11" i="110"/>
  <c r="D11" i="114"/>
  <c r="D11" i="110"/>
  <c r="C11" i="114"/>
  <c r="C11" i="110"/>
  <c r="B11" i="114"/>
  <c r="B11" i="110"/>
  <c r="N11" i="110"/>
  <c r="M10" i="114"/>
  <c r="N5" i="111"/>
  <c r="M10" i="110"/>
  <c r="L10" i="114"/>
  <c r="M5" i="111"/>
  <c r="L10" i="110"/>
  <c r="K10" i="114"/>
  <c r="L5" i="111"/>
  <c r="K10" i="110"/>
  <c r="J10" i="114"/>
  <c r="K5" i="111"/>
  <c r="J10" i="110"/>
  <c r="I10" i="114"/>
  <c r="J5" i="111"/>
  <c r="I10" i="110"/>
  <c r="H10" i="114"/>
  <c r="I5" i="111"/>
  <c r="H10" i="110"/>
  <c r="G10" i="114"/>
  <c r="H5" i="111"/>
  <c r="G10" i="110"/>
  <c r="G5" i="111"/>
  <c r="F10" i="110"/>
  <c r="E10" i="114"/>
  <c r="E10" i="110"/>
  <c r="D10" i="114"/>
  <c r="E5" i="111"/>
  <c r="D10" i="110"/>
  <c r="B10" i="114"/>
  <c r="C5" i="111"/>
  <c r="B10" i="110"/>
  <c r="M9" i="114"/>
  <c r="N4" i="111"/>
  <c r="M9" i="110"/>
  <c r="L9" i="114"/>
  <c r="M4" i="111"/>
  <c r="L9" i="110"/>
  <c r="K9" i="114"/>
  <c r="L4" i="111"/>
  <c r="K9" i="110"/>
  <c r="J9" i="114"/>
  <c r="K4" i="111"/>
  <c r="J9" i="110"/>
  <c r="I9" i="114"/>
  <c r="J4" i="111"/>
  <c r="I9" i="110"/>
  <c r="H9" i="114"/>
  <c r="I4" i="111"/>
  <c r="H9" i="110"/>
  <c r="G9" i="114"/>
  <c r="G9" i="110"/>
  <c r="G4" i="111"/>
  <c r="F9" i="110"/>
  <c r="E9" i="114"/>
  <c r="E9" i="110"/>
  <c r="D9" i="114"/>
  <c r="E4" i="111"/>
  <c r="D9" i="110"/>
  <c r="B9" i="114"/>
  <c r="C4" i="111"/>
  <c r="B9" i="110"/>
  <c r="M8" i="114"/>
  <c r="M8" i="110"/>
  <c r="L8" i="114"/>
  <c r="L8" i="110"/>
  <c r="K8" i="114"/>
  <c r="K8" i="110"/>
  <c r="J8" i="114"/>
  <c r="J8" i="110"/>
  <c r="I8" i="114"/>
  <c r="I8" i="110"/>
  <c r="H8" i="114"/>
  <c r="H8" i="110"/>
  <c r="G8" i="114"/>
  <c r="G8" i="110"/>
  <c r="F8" i="110"/>
  <c r="E8" i="114"/>
  <c r="E8" i="110"/>
  <c r="D8" i="114"/>
  <c r="D8" i="110"/>
  <c r="M7" i="114"/>
  <c r="M7" i="110"/>
  <c r="L7" i="114"/>
  <c r="L7" i="110"/>
  <c r="K7" i="114"/>
  <c r="K7" i="110"/>
  <c r="J7" i="114"/>
  <c r="J7" i="110"/>
  <c r="I7" i="114"/>
  <c r="I7" i="110"/>
  <c r="H7" i="114"/>
  <c r="H7" i="110"/>
  <c r="G7" i="114"/>
  <c r="G7" i="110"/>
  <c r="F7" i="110"/>
  <c r="E7" i="114"/>
  <c r="E7" i="110"/>
  <c r="D7" i="114"/>
  <c r="D7" i="110"/>
  <c r="B7" i="114"/>
  <c r="B7" i="110"/>
  <c r="M6" i="114"/>
  <c r="M6" i="110"/>
  <c r="L6" i="114"/>
  <c r="L6" i="110"/>
  <c r="K6" i="114"/>
  <c r="K6" i="110"/>
  <c r="J6" i="114"/>
  <c r="J6" i="110"/>
  <c r="I6" i="114"/>
  <c r="I6" i="110"/>
  <c r="H6" i="114"/>
  <c r="H6" i="110"/>
  <c r="G6" i="114"/>
  <c r="G6" i="110"/>
  <c r="F6" i="110"/>
  <c r="E6" i="114"/>
  <c r="E6" i="110"/>
  <c r="D6" i="114"/>
  <c r="D6" i="110"/>
  <c r="B6" i="114"/>
  <c r="B6" i="110"/>
  <c r="M5" i="114"/>
  <c r="M5" i="110"/>
  <c r="L5" i="114"/>
  <c r="L5" i="110"/>
  <c r="K5" i="114"/>
  <c r="K5" i="110"/>
  <c r="J5" i="114"/>
  <c r="J5" i="110"/>
  <c r="I5" i="114"/>
  <c r="I5" i="110"/>
  <c r="H5" i="114"/>
  <c r="H5" i="110"/>
  <c r="G5" i="114"/>
  <c r="G5" i="110"/>
  <c r="F5" i="110"/>
  <c r="E5" i="114"/>
  <c r="E5" i="110"/>
  <c r="D5" i="110"/>
  <c r="B5" i="114"/>
  <c r="B5" i="110"/>
  <c r="M4" i="114"/>
  <c r="M4" i="110"/>
  <c r="L4" i="114"/>
  <c r="L4" i="110"/>
  <c r="K4" i="114"/>
  <c r="K4" i="110"/>
  <c r="J4" i="114"/>
  <c r="J4" i="110"/>
  <c r="I4" i="114"/>
  <c r="I4" i="110"/>
  <c r="H4" i="114"/>
  <c r="H4" i="110"/>
  <c r="G4" i="114"/>
  <c r="G4" i="110"/>
  <c r="F4" i="110"/>
  <c r="E4" i="114"/>
  <c r="E4" i="110"/>
  <c r="D4" i="110"/>
  <c r="B4" i="114"/>
  <c r="B4" i="110"/>
  <c r="P14" i="111"/>
  <c r="M40" i="114"/>
  <c r="L40" i="114"/>
  <c r="K40" i="114"/>
  <c r="J40" i="114"/>
  <c r="I40" i="114"/>
  <c r="H40" i="114"/>
  <c r="G40" i="114"/>
  <c r="F40" i="114"/>
  <c r="E40" i="114"/>
  <c r="D40" i="114"/>
  <c r="C40" i="114"/>
  <c r="B40" i="114"/>
  <c r="M32" i="114"/>
  <c r="L32" i="114"/>
  <c r="K32" i="114"/>
  <c r="J32" i="114"/>
  <c r="I32" i="114"/>
  <c r="H32" i="114"/>
  <c r="G32" i="114"/>
  <c r="E32" i="114"/>
  <c r="D32" i="114"/>
  <c r="C32" i="114"/>
  <c r="B32" i="114"/>
  <c r="M31" i="114"/>
  <c r="L31" i="114"/>
  <c r="K31" i="114"/>
  <c r="K31" i="110"/>
  <c r="J31" i="114"/>
  <c r="I31" i="114"/>
  <c r="I31" i="110"/>
  <c r="H31" i="114"/>
  <c r="G31" i="114"/>
  <c r="G31" i="110"/>
  <c r="E31" i="114"/>
  <c r="D31" i="114"/>
  <c r="C31" i="114"/>
  <c r="C31" i="110"/>
  <c r="B31" i="114"/>
  <c r="B31" i="110"/>
  <c r="M30" i="114"/>
  <c r="L30" i="114"/>
  <c r="K30" i="114"/>
  <c r="J30" i="114"/>
  <c r="I30" i="114"/>
  <c r="H30" i="114"/>
  <c r="G30" i="114"/>
  <c r="E30" i="114"/>
  <c r="D30" i="114"/>
  <c r="C30" i="114"/>
  <c r="B30" i="114"/>
  <c r="M29" i="114"/>
  <c r="M29" i="110"/>
  <c r="L29" i="114"/>
  <c r="K29" i="114"/>
  <c r="K29" i="110"/>
  <c r="J29" i="114"/>
  <c r="I29" i="114"/>
  <c r="H29" i="114"/>
  <c r="G29" i="114"/>
  <c r="G29" i="110"/>
  <c r="E29" i="114"/>
  <c r="E29" i="110"/>
  <c r="D29" i="114"/>
  <c r="C29" i="114"/>
  <c r="B29" i="114"/>
  <c r="B29" i="110"/>
  <c r="M28" i="114"/>
  <c r="L28" i="114"/>
  <c r="K28" i="114"/>
  <c r="J28" i="114"/>
  <c r="I28" i="114"/>
  <c r="H28" i="114"/>
  <c r="G28" i="114"/>
  <c r="E28" i="114"/>
  <c r="D28" i="114"/>
  <c r="C28" i="114"/>
  <c r="B28" i="114"/>
  <c r="M27" i="114"/>
  <c r="L27" i="114"/>
  <c r="K27" i="114"/>
  <c r="J27" i="114"/>
  <c r="I27" i="114"/>
  <c r="H27" i="114"/>
  <c r="G27" i="114"/>
  <c r="E27" i="114"/>
  <c r="D27" i="114"/>
  <c r="C27" i="114"/>
  <c r="B27" i="114"/>
  <c r="N27" i="114"/>
  <c r="M26" i="114"/>
  <c r="L26" i="114"/>
  <c r="K26" i="114"/>
  <c r="K26" i="110"/>
  <c r="J26" i="114"/>
  <c r="I26" i="114"/>
  <c r="I26" i="110"/>
  <c r="H26" i="114"/>
  <c r="G26" i="114"/>
  <c r="G26" i="110"/>
  <c r="E26" i="114"/>
  <c r="D26" i="114"/>
  <c r="C26" i="114"/>
  <c r="C26" i="110"/>
  <c r="B26" i="114"/>
  <c r="B26" i="110"/>
  <c r="M25" i="114"/>
  <c r="M25" i="110"/>
  <c r="L25" i="114"/>
  <c r="K25" i="114"/>
  <c r="K25" i="110"/>
  <c r="J25" i="114"/>
  <c r="I25" i="114"/>
  <c r="H25" i="114"/>
  <c r="G25" i="114"/>
  <c r="G25" i="110"/>
  <c r="E25" i="114"/>
  <c r="E25" i="110"/>
  <c r="D25" i="114"/>
  <c r="C25" i="114"/>
  <c r="C25" i="110"/>
  <c r="B25" i="114"/>
  <c r="B25" i="110"/>
  <c r="M24" i="114"/>
  <c r="L24" i="114"/>
  <c r="K24" i="114"/>
  <c r="J24" i="114"/>
  <c r="I24" i="114"/>
  <c r="H24" i="114"/>
  <c r="G24" i="114"/>
  <c r="E24" i="114"/>
  <c r="D24" i="114"/>
  <c r="C24" i="114"/>
  <c r="B24" i="114"/>
  <c r="M23" i="114"/>
  <c r="L23" i="114"/>
  <c r="K23" i="114"/>
  <c r="K23" i="110"/>
  <c r="J23" i="114"/>
  <c r="I23" i="114"/>
  <c r="I23" i="110"/>
  <c r="H23" i="114"/>
  <c r="G23" i="114"/>
  <c r="G23" i="110"/>
  <c r="E23" i="114"/>
  <c r="D23" i="114"/>
  <c r="C23" i="114"/>
  <c r="C23" i="110"/>
  <c r="B23" i="114"/>
  <c r="B23" i="110"/>
  <c r="M22" i="114"/>
  <c r="M22" i="110"/>
  <c r="L22" i="114"/>
  <c r="K22" i="114"/>
  <c r="K22" i="110"/>
  <c r="J22" i="114"/>
  <c r="I22" i="114"/>
  <c r="H22" i="114"/>
  <c r="G22" i="114"/>
  <c r="G22" i="110"/>
  <c r="E22" i="114"/>
  <c r="E22" i="110"/>
  <c r="D22" i="114"/>
  <c r="C22" i="114"/>
  <c r="C22" i="110"/>
  <c r="B22" i="114"/>
  <c r="B22" i="110"/>
  <c r="M21" i="114"/>
  <c r="L21" i="114"/>
  <c r="K21" i="114"/>
  <c r="J21" i="114"/>
  <c r="I21" i="114"/>
  <c r="H21" i="114"/>
  <c r="G21" i="114"/>
  <c r="E21" i="114"/>
  <c r="D21" i="114"/>
  <c r="C21" i="114"/>
  <c r="B21" i="114"/>
  <c r="M20" i="114"/>
  <c r="L20" i="114"/>
  <c r="K20" i="114"/>
  <c r="K20" i="110"/>
  <c r="J20" i="114"/>
  <c r="I20" i="114"/>
  <c r="I20" i="110"/>
  <c r="H20" i="114"/>
  <c r="G20" i="114"/>
  <c r="G20" i="110"/>
  <c r="E20" i="114"/>
  <c r="D20" i="114"/>
  <c r="C20" i="114"/>
  <c r="C20" i="110"/>
  <c r="B20" i="114"/>
  <c r="B20" i="110"/>
  <c r="M19" i="114"/>
  <c r="M19" i="110"/>
  <c r="L19" i="114"/>
  <c r="K19" i="114"/>
  <c r="K19" i="110"/>
  <c r="J19" i="114"/>
  <c r="I19" i="114"/>
  <c r="H19" i="114"/>
  <c r="G19" i="114"/>
  <c r="G19" i="110"/>
  <c r="E19" i="114"/>
  <c r="E19" i="110"/>
  <c r="D19" i="114"/>
  <c r="C19" i="114"/>
  <c r="C19" i="110"/>
  <c r="B19" i="114"/>
  <c r="M18" i="114"/>
  <c r="L18" i="114"/>
  <c r="K18" i="114"/>
  <c r="J18" i="114"/>
  <c r="I18" i="114"/>
  <c r="H18" i="114"/>
  <c r="G18" i="114"/>
  <c r="E18" i="114"/>
  <c r="D18" i="114"/>
  <c r="C18" i="114"/>
  <c r="B18" i="114"/>
  <c r="M17" i="114"/>
  <c r="L17" i="114"/>
  <c r="K17" i="114"/>
  <c r="K17" i="110"/>
  <c r="J17" i="114"/>
  <c r="I17" i="114"/>
  <c r="I17" i="110"/>
  <c r="H17" i="114"/>
  <c r="G17" i="114"/>
  <c r="G17" i="110"/>
  <c r="E17" i="114"/>
  <c r="D17" i="114"/>
  <c r="C17" i="114"/>
  <c r="C17" i="110"/>
  <c r="B17" i="114"/>
  <c r="N17" i="114"/>
  <c r="M16" i="114"/>
  <c r="M16" i="110"/>
  <c r="L16" i="114"/>
  <c r="K16" i="114"/>
  <c r="K16" i="110"/>
  <c r="J16" i="114"/>
  <c r="I16" i="114"/>
  <c r="H16" i="114"/>
  <c r="G16" i="114"/>
  <c r="G16" i="110"/>
  <c r="E16" i="114"/>
  <c r="E16" i="110"/>
  <c r="D16" i="114"/>
  <c r="C16" i="114"/>
  <c r="C16" i="110"/>
  <c r="B16" i="114"/>
  <c r="B16" i="110"/>
  <c r="C10" i="114"/>
  <c r="C9" i="114"/>
  <c r="C9" i="110"/>
  <c r="N9" i="110"/>
  <c r="C8" i="114"/>
  <c r="C8" i="110"/>
  <c r="N8" i="110"/>
  <c r="C7" i="114"/>
  <c r="C7" i="110"/>
  <c r="C6" i="114"/>
  <c r="C6" i="110"/>
  <c r="C5" i="114"/>
  <c r="C5" i="110"/>
  <c r="M33" i="114"/>
  <c r="M4" i="108"/>
  <c r="M5" i="108"/>
  <c r="M6" i="108"/>
  <c r="M7" i="108"/>
  <c r="M8" i="108"/>
  <c r="M9" i="108"/>
  <c r="M10" i="108"/>
  <c r="M11" i="108"/>
  <c r="M12" i="108"/>
  <c r="M13" i="108"/>
  <c r="M14" i="108"/>
  <c r="M15" i="108"/>
  <c r="M16" i="108"/>
  <c r="M17" i="108"/>
  <c r="M18" i="108"/>
  <c r="M19" i="108"/>
  <c r="M20" i="108"/>
  <c r="M21" i="108"/>
  <c r="M22" i="108"/>
  <c r="M23" i="108"/>
  <c r="M24" i="108"/>
  <c r="M25" i="108"/>
  <c r="M26" i="108"/>
  <c r="M27" i="108"/>
  <c r="M28" i="108"/>
  <c r="M29" i="108"/>
  <c r="M30" i="108"/>
  <c r="M31" i="108"/>
  <c r="M32" i="108"/>
  <c r="M33" i="108"/>
  <c r="M34" i="114"/>
  <c r="K33" i="114"/>
  <c r="K4" i="108"/>
  <c r="K5" i="108"/>
  <c r="K6" i="108"/>
  <c r="K7" i="108"/>
  <c r="K8" i="108"/>
  <c r="K9" i="108"/>
  <c r="K10" i="108"/>
  <c r="K11" i="108"/>
  <c r="K12" i="108"/>
  <c r="K13" i="108"/>
  <c r="K14" i="108"/>
  <c r="K15" i="108"/>
  <c r="K16" i="108"/>
  <c r="K17" i="108"/>
  <c r="K18" i="108"/>
  <c r="K19" i="108"/>
  <c r="K20" i="108"/>
  <c r="K21" i="108"/>
  <c r="K22" i="108"/>
  <c r="K23" i="108"/>
  <c r="K24" i="108"/>
  <c r="K25" i="108"/>
  <c r="K26" i="108"/>
  <c r="K27" i="108"/>
  <c r="K28" i="108"/>
  <c r="K29" i="108"/>
  <c r="K30" i="108"/>
  <c r="K31" i="108"/>
  <c r="K32" i="108"/>
  <c r="K33" i="108"/>
  <c r="K34" i="114"/>
  <c r="J33" i="114"/>
  <c r="J4" i="108"/>
  <c r="J5" i="108"/>
  <c r="J6" i="108"/>
  <c r="J7" i="108"/>
  <c r="J8" i="108"/>
  <c r="J9" i="108"/>
  <c r="J10" i="108"/>
  <c r="J11" i="108"/>
  <c r="J12" i="108"/>
  <c r="J13" i="108"/>
  <c r="J14" i="108"/>
  <c r="J15" i="108"/>
  <c r="J16" i="108"/>
  <c r="J17" i="108"/>
  <c r="J18" i="108"/>
  <c r="J19" i="108"/>
  <c r="J20" i="108"/>
  <c r="J21" i="108"/>
  <c r="J22" i="108"/>
  <c r="J23" i="108"/>
  <c r="J24" i="108"/>
  <c r="J25" i="108"/>
  <c r="J26" i="108"/>
  <c r="J27" i="108"/>
  <c r="J28" i="108"/>
  <c r="J29" i="108"/>
  <c r="J30" i="108"/>
  <c r="J31" i="108"/>
  <c r="J32" i="108"/>
  <c r="J33" i="108"/>
  <c r="J34" i="114"/>
  <c r="I33" i="114"/>
  <c r="I4" i="108"/>
  <c r="I5" i="108"/>
  <c r="I6" i="108"/>
  <c r="I7" i="108"/>
  <c r="I8" i="108"/>
  <c r="I9" i="108"/>
  <c r="I10" i="108"/>
  <c r="I11" i="108"/>
  <c r="I12" i="108"/>
  <c r="I13" i="108"/>
  <c r="I14" i="108"/>
  <c r="I15" i="108"/>
  <c r="I16" i="108"/>
  <c r="I17" i="108"/>
  <c r="I18" i="108"/>
  <c r="I19" i="108"/>
  <c r="I20" i="108"/>
  <c r="I21" i="108"/>
  <c r="I22" i="108"/>
  <c r="I23" i="108"/>
  <c r="I24" i="108"/>
  <c r="I25" i="108"/>
  <c r="I26" i="108"/>
  <c r="I27" i="108"/>
  <c r="I28" i="108"/>
  <c r="I29" i="108"/>
  <c r="I30" i="108"/>
  <c r="I31" i="108"/>
  <c r="I32" i="108"/>
  <c r="I33" i="108"/>
  <c r="I34" i="114"/>
  <c r="G33" i="114"/>
  <c r="G33" i="108"/>
  <c r="G34" i="114"/>
  <c r="F33" i="114"/>
  <c r="F33" i="108"/>
  <c r="F34" i="114"/>
  <c r="D33" i="114"/>
  <c r="D33" i="108"/>
  <c r="D34" i="114"/>
  <c r="C4" i="114"/>
  <c r="C33" i="114"/>
  <c r="C33" i="108"/>
  <c r="C34" i="114"/>
  <c r="B33" i="114"/>
  <c r="B33" i="108"/>
  <c r="B34" i="114"/>
  <c r="K103" i="107"/>
  <c r="K107" i="113"/>
  <c r="H103" i="107"/>
  <c r="H107" i="113"/>
  <c r="G103" i="107"/>
  <c r="G107" i="113"/>
  <c r="F103" i="107"/>
  <c r="F107" i="113"/>
  <c r="L32" i="112"/>
  <c r="L32" i="106"/>
  <c r="L33" i="112"/>
  <c r="K32" i="112"/>
  <c r="K32" i="106"/>
  <c r="K33" i="112"/>
  <c r="J32" i="112"/>
  <c r="J32" i="106"/>
  <c r="J33" i="112"/>
  <c r="H32" i="112"/>
  <c r="H32" i="106"/>
  <c r="H33" i="112"/>
  <c r="G32" i="112"/>
  <c r="G32" i="106"/>
  <c r="G33" i="112"/>
  <c r="F32" i="112"/>
  <c r="F32" i="106"/>
  <c r="F33" i="112"/>
  <c r="D32" i="112"/>
  <c r="D32" i="106"/>
  <c r="D33" i="112"/>
  <c r="N4" i="105"/>
  <c r="N5" i="105"/>
  <c r="N6" i="105"/>
  <c r="N7" i="105"/>
  <c r="N8" i="105"/>
  <c r="N9" i="105"/>
  <c r="N10" i="105"/>
  <c r="N11" i="105"/>
  <c r="N12" i="105"/>
  <c r="N13" i="105"/>
  <c r="N14" i="105"/>
  <c r="N16" i="105"/>
  <c r="N17" i="111"/>
  <c r="M4" i="105"/>
  <c r="M5" i="105"/>
  <c r="M6" i="105"/>
  <c r="M7" i="105"/>
  <c r="M8" i="105"/>
  <c r="M9" i="105"/>
  <c r="M10" i="105"/>
  <c r="M11" i="105"/>
  <c r="M12" i="105"/>
  <c r="M13" i="105"/>
  <c r="M14" i="105"/>
  <c r="M16" i="105"/>
  <c r="M17" i="111"/>
  <c r="L4" i="105"/>
  <c r="L5" i="105"/>
  <c r="L6" i="105"/>
  <c r="L7" i="105"/>
  <c r="L8" i="105"/>
  <c r="L9" i="105"/>
  <c r="L10" i="105"/>
  <c r="L11" i="105"/>
  <c r="L12" i="105"/>
  <c r="L13" i="105"/>
  <c r="L14" i="105"/>
  <c r="L16" i="105"/>
  <c r="L17" i="111"/>
  <c r="K4" i="105"/>
  <c r="K5" i="105"/>
  <c r="K6" i="105"/>
  <c r="K7" i="105"/>
  <c r="K8" i="105"/>
  <c r="K9" i="105"/>
  <c r="K10" i="105"/>
  <c r="K11" i="105"/>
  <c r="K12" i="105"/>
  <c r="K13" i="105"/>
  <c r="K14" i="105"/>
  <c r="K16" i="105"/>
  <c r="K17" i="111"/>
  <c r="J4" i="105"/>
  <c r="J5" i="105"/>
  <c r="J6" i="105"/>
  <c r="J7" i="105"/>
  <c r="J8" i="105"/>
  <c r="J9" i="105"/>
  <c r="J10" i="105"/>
  <c r="J11" i="105"/>
  <c r="J12" i="105"/>
  <c r="J13" i="105"/>
  <c r="J14" i="105"/>
  <c r="J16" i="105"/>
  <c r="J17" i="111"/>
  <c r="I4" i="105"/>
  <c r="I5" i="105"/>
  <c r="I6" i="105"/>
  <c r="I7" i="105"/>
  <c r="I8" i="105"/>
  <c r="I9" i="105"/>
  <c r="I10" i="105"/>
  <c r="I11" i="105"/>
  <c r="I12" i="105"/>
  <c r="I13" i="105"/>
  <c r="I14" i="105"/>
  <c r="I16" i="105"/>
  <c r="I17" i="111"/>
  <c r="H4" i="105"/>
  <c r="H5" i="105"/>
  <c r="H6" i="105"/>
  <c r="H7" i="105"/>
  <c r="H8" i="105"/>
  <c r="H9" i="105"/>
  <c r="H10" i="105"/>
  <c r="H11" i="105"/>
  <c r="H12" i="105"/>
  <c r="H13" i="105"/>
  <c r="H14" i="105"/>
  <c r="H16" i="105"/>
  <c r="H17" i="111"/>
  <c r="G4" i="105"/>
  <c r="G5" i="105"/>
  <c r="G6" i="105"/>
  <c r="G7" i="105"/>
  <c r="G8" i="105"/>
  <c r="G9" i="105"/>
  <c r="G10" i="105"/>
  <c r="G11" i="105"/>
  <c r="G12" i="105"/>
  <c r="G13" i="105"/>
  <c r="G14" i="105"/>
  <c r="G16" i="105"/>
  <c r="G17" i="111"/>
  <c r="F4" i="105"/>
  <c r="F5" i="105"/>
  <c r="F6" i="105"/>
  <c r="F7" i="105"/>
  <c r="F8" i="105"/>
  <c r="F9" i="105"/>
  <c r="F10" i="105"/>
  <c r="F11" i="105"/>
  <c r="F12" i="105"/>
  <c r="F13" i="105"/>
  <c r="F14" i="105"/>
  <c r="F16" i="105"/>
  <c r="F17" i="111"/>
  <c r="E4" i="105"/>
  <c r="E5" i="105"/>
  <c r="E6" i="105"/>
  <c r="E7" i="105"/>
  <c r="E8" i="105"/>
  <c r="E9" i="105"/>
  <c r="E10" i="105"/>
  <c r="E11" i="105"/>
  <c r="E12" i="105"/>
  <c r="E13" i="105"/>
  <c r="E14" i="105"/>
  <c r="E16" i="105"/>
  <c r="E17" i="111"/>
  <c r="D14" i="105"/>
  <c r="D16" i="105"/>
  <c r="D17" i="111"/>
  <c r="C14" i="105"/>
  <c r="C16" i="105"/>
  <c r="C17" i="111"/>
  <c r="M31" i="110"/>
  <c r="L31" i="110"/>
  <c r="J31" i="110"/>
  <c r="H31" i="110"/>
  <c r="F31" i="110"/>
  <c r="E31" i="110"/>
  <c r="D31" i="110"/>
  <c r="L29" i="110"/>
  <c r="J29" i="110"/>
  <c r="I29" i="110"/>
  <c r="H29" i="110"/>
  <c r="F29" i="110"/>
  <c r="D29" i="110"/>
  <c r="M26" i="110"/>
  <c r="L26" i="110"/>
  <c r="J26" i="110"/>
  <c r="H26" i="110"/>
  <c r="F26" i="110"/>
  <c r="E26" i="110"/>
  <c r="D26" i="110"/>
  <c r="L25" i="110"/>
  <c r="J25" i="110"/>
  <c r="I25" i="110"/>
  <c r="H25" i="110"/>
  <c r="F25" i="110"/>
  <c r="D25" i="110"/>
  <c r="M23" i="110"/>
  <c r="L23" i="110"/>
  <c r="J23" i="110"/>
  <c r="H23" i="110"/>
  <c r="F23" i="110"/>
  <c r="E23" i="110"/>
  <c r="D23" i="110"/>
  <c r="L22" i="110"/>
  <c r="J22" i="110"/>
  <c r="I22" i="110"/>
  <c r="H22" i="110"/>
  <c r="F22" i="110"/>
  <c r="D22" i="110"/>
  <c r="M20" i="110"/>
  <c r="L20" i="110"/>
  <c r="J20" i="110"/>
  <c r="H20" i="110"/>
  <c r="F20" i="110"/>
  <c r="E20" i="110"/>
  <c r="D20" i="110"/>
  <c r="L19" i="110"/>
  <c r="J19" i="110"/>
  <c r="I19" i="110"/>
  <c r="H19" i="110"/>
  <c r="F19" i="110"/>
  <c r="D19" i="110"/>
  <c r="B19" i="110"/>
  <c r="M17" i="110"/>
  <c r="L17" i="110"/>
  <c r="J17" i="110"/>
  <c r="H17" i="110"/>
  <c r="F17" i="110"/>
  <c r="E17" i="110"/>
  <c r="D17" i="110"/>
  <c r="B17" i="110"/>
  <c r="L16" i="110"/>
  <c r="J16" i="110"/>
  <c r="I16" i="110"/>
  <c r="H16" i="110"/>
  <c r="F16" i="110"/>
  <c r="D16" i="110"/>
  <c r="M23" i="115"/>
  <c r="L23" i="115"/>
  <c r="K23" i="115"/>
  <c r="J23" i="115"/>
  <c r="I23" i="115"/>
  <c r="H23" i="115"/>
  <c r="G23" i="115"/>
  <c r="F23" i="115"/>
  <c r="E22" i="109"/>
  <c r="E23" i="115"/>
  <c r="D22" i="109"/>
  <c r="D23" i="115"/>
  <c r="C22" i="109"/>
  <c r="C23" i="115"/>
  <c r="B22" i="109"/>
  <c r="B23" i="115"/>
  <c r="P19" i="115"/>
  <c r="P15" i="115"/>
  <c r="P11" i="115"/>
  <c r="P7" i="115"/>
  <c r="P5" i="115"/>
  <c r="N39" i="114"/>
  <c r="P39" i="114"/>
  <c r="N7" i="114"/>
  <c r="L33" i="114"/>
  <c r="L4" i="108"/>
  <c r="L5" i="108"/>
  <c r="L6" i="108"/>
  <c r="L7" i="108"/>
  <c r="L8" i="108"/>
  <c r="L9" i="108"/>
  <c r="L10" i="108"/>
  <c r="L11" i="108"/>
  <c r="L12" i="108"/>
  <c r="L13" i="108"/>
  <c r="L14" i="108"/>
  <c r="L15" i="108"/>
  <c r="L16" i="108"/>
  <c r="L17" i="108"/>
  <c r="L18" i="108"/>
  <c r="L19" i="108"/>
  <c r="L20" i="108"/>
  <c r="L21" i="108"/>
  <c r="L22" i="108"/>
  <c r="L23" i="108"/>
  <c r="L24" i="108"/>
  <c r="L25" i="108"/>
  <c r="L26" i="108"/>
  <c r="L27" i="108"/>
  <c r="L28" i="108"/>
  <c r="L29" i="108"/>
  <c r="L30" i="108"/>
  <c r="L31" i="108"/>
  <c r="L32" i="108"/>
  <c r="L33" i="108"/>
  <c r="L34" i="114"/>
  <c r="H33" i="114"/>
  <c r="H33" i="108"/>
  <c r="H34" i="114"/>
  <c r="E33" i="114"/>
  <c r="E33" i="108"/>
  <c r="E34" i="114"/>
  <c r="M103" i="107"/>
  <c r="M107" i="113"/>
  <c r="L103" i="107"/>
  <c r="L107" i="113"/>
  <c r="J103" i="107"/>
  <c r="J107" i="113"/>
  <c r="I103" i="107"/>
  <c r="I107" i="113"/>
  <c r="E103" i="107"/>
  <c r="E107" i="113"/>
  <c r="D107" i="113"/>
  <c r="C107" i="113"/>
  <c r="B107" i="113"/>
  <c r="N44" i="113"/>
  <c r="P43" i="113"/>
  <c r="N41" i="113"/>
  <c r="P39" i="113"/>
  <c r="N38" i="113"/>
  <c r="N36" i="113"/>
  <c r="P35" i="113"/>
  <c r="N33" i="113"/>
  <c r="N31" i="113"/>
  <c r="P31" i="113"/>
  <c r="N29" i="113"/>
  <c r="N27" i="113"/>
  <c r="P27" i="113"/>
  <c r="N25" i="113"/>
  <c r="P23" i="113"/>
  <c r="N17" i="113"/>
  <c r="N16" i="113"/>
  <c r="N14" i="113"/>
  <c r="N13" i="113"/>
  <c r="N10" i="113"/>
  <c r="N6" i="113"/>
  <c r="N4" i="113"/>
  <c r="M32" i="112"/>
  <c r="M32" i="106"/>
  <c r="M33" i="112"/>
  <c r="I32" i="112"/>
  <c r="I32" i="106"/>
  <c r="I33" i="112"/>
  <c r="E32" i="112"/>
  <c r="E32" i="106"/>
  <c r="E33" i="112"/>
  <c r="C32" i="112"/>
  <c r="C32" i="106"/>
  <c r="C33" i="112"/>
  <c r="B32" i="112"/>
  <c r="B32" i="106"/>
  <c r="B33" i="112"/>
  <c r="N31" i="112"/>
  <c r="N30" i="112"/>
  <c r="N29" i="112"/>
  <c r="N28" i="112"/>
  <c r="N27" i="112"/>
  <c r="N26" i="112"/>
  <c r="N25" i="112"/>
  <c r="N24" i="112"/>
  <c r="N23" i="112"/>
  <c r="N22" i="112"/>
  <c r="N21" i="112"/>
  <c r="N20" i="112"/>
  <c r="N19" i="112"/>
  <c r="N18" i="112"/>
  <c r="N16" i="112"/>
  <c r="N15" i="112"/>
  <c r="P15" i="112"/>
  <c r="N14" i="112"/>
  <c r="N13" i="112"/>
  <c r="P13" i="112"/>
  <c r="N12" i="112"/>
  <c r="N11" i="112"/>
  <c r="P11" i="112"/>
  <c r="N10" i="112"/>
  <c r="N9" i="112"/>
  <c r="P9" i="112"/>
  <c r="N8" i="112"/>
  <c r="N7" i="112"/>
  <c r="P7" i="112"/>
  <c r="N6" i="112"/>
  <c r="P6" i="112"/>
  <c r="N5" i="112"/>
  <c r="P5" i="112"/>
  <c r="N4" i="112"/>
  <c r="N55" i="111"/>
  <c r="M55" i="111"/>
  <c r="L55" i="111"/>
  <c r="K55" i="111"/>
  <c r="J55" i="111"/>
  <c r="I55" i="111"/>
  <c r="H55" i="111"/>
  <c r="G55" i="111"/>
  <c r="F55" i="111"/>
  <c r="E55" i="111"/>
  <c r="D55" i="111"/>
  <c r="C55" i="111"/>
  <c r="N43" i="111"/>
  <c r="M43" i="111"/>
  <c r="L43" i="111"/>
  <c r="K43" i="111"/>
  <c r="J43" i="111"/>
  <c r="I43" i="111"/>
  <c r="H43" i="111"/>
  <c r="G43" i="111"/>
  <c r="F43" i="111"/>
  <c r="E43" i="111"/>
  <c r="D43" i="111"/>
  <c r="C43" i="111"/>
  <c r="N13" i="111"/>
  <c r="M13" i="111"/>
  <c r="L32" i="110"/>
  <c r="L13" i="111"/>
  <c r="K32" i="110"/>
  <c r="K13" i="111"/>
  <c r="J32" i="110"/>
  <c r="J13" i="111"/>
  <c r="I13" i="111"/>
  <c r="H32" i="110"/>
  <c r="H13" i="111"/>
  <c r="G32" i="110"/>
  <c r="G13" i="111"/>
  <c r="F32" i="110"/>
  <c r="E13" i="111"/>
  <c r="D32" i="110"/>
  <c r="C32" i="110"/>
  <c r="C13" i="111"/>
  <c r="N12" i="111"/>
  <c r="M12" i="111"/>
  <c r="L30" i="110"/>
  <c r="L12" i="111"/>
  <c r="K30" i="110"/>
  <c r="K12" i="111"/>
  <c r="J30" i="110"/>
  <c r="J12" i="111"/>
  <c r="I12" i="111"/>
  <c r="H30" i="110"/>
  <c r="H12" i="111"/>
  <c r="G30" i="110"/>
  <c r="G12" i="111"/>
  <c r="F30" i="110"/>
  <c r="E12" i="111"/>
  <c r="D30" i="110"/>
  <c r="C30" i="110"/>
  <c r="C12" i="111"/>
  <c r="N11" i="111"/>
  <c r="M11" i="111"/>
  <c r="L28" i="110"/>
  <c r="L11" i="111"/>
  <c r="K28" i="110"/>
  <c r="K11" i="111"/>
  <c r="J28" i="110"/>
  <c r="J11" i="111"/>
  <c r="I11" i="111"/>
  <c r="H28" i="110"/>
  <c r="H11" i="111"/>
  <c r="G28" i="110"/>
  <c r="G11" i="111"/>
  <c r="F28" i="110"/>
  <c r="E11" i="111"/>
  <c r="D28" i="110"/>
  <c r="C28" i="110"/>
  <c r="C11" i="111"/>
  <c r="N10" i="111"/>
  <c r="M27" i="110"/>
  <c r="M10" i="111"/>
  <c r="L27" i="110"/>
  <c r="L10" i="111"/>
  <c r="K27" i="110"/>
  <c r="K10" i="111"/>
  <c r="J27" i="110"/>
  <c r="J10" i="111"/>
  <c r="I27" i="110"/>
  <c r="I10" i="111"/>
  <c r="H27" i="110"/>
  <c r="H10" i="111"/>
  <c r="G27" i="110"/>
  <c r="G10" i="111"/>
  <c r="F27" i="110"/>
  <c r="E27" i="110"/>
  <c r="E10" i="111"/>
  <c r="D27" i="110"/>
  <c r="C27" i="110"/>
  <c r="C10" i="111"/>
  <c r="N9" i="111"/>
  <c r="M24" i="110"/>
  <c r="M9" i="111"/>
  <c r="L24" i="110"/>
  <c r="L9" i="111"/>
  <c r="K24" i="110"/>
  <c r="K9" i="111"/>
  <c r="J24" i="110"/>
  <c r="J9" i="111"/>
  <c r="I24" i="110"/>
  <c r="I9" i="111"/>
  <c r="H24" i="110"/>
  <c r="H9" i="111"/>
  <c r="G24" i="110"/>
  <c r="G9" i="111"/>
  <c r="F24" i="110"/>
  <c r="E24" i="110"/>
  <c r="E9" i="111"/>
  <c r="D24" i="110"/>
  <c r="C24" i="110"/>
  <c r="C9" i="111"/>
  <c r="N8" i="111"/>
  <c r="M21" i="110"/>
  <c r="M8" i="111"/>
  <c r="L21" i="110"/>
  <c r="L8" i="111"/>
  <c r="K21" i="110"/>
  <c r="K8" i="111"/>
  <c r="J21" i="110"/>
  <c r="J8" i="111"/>
  <c r="I21" i="110"/>
  <c r="I8" i="111"/>
  <c r="H21" i="110"/>
  <c r="H8" i="111"/>
  <c r="G21" i="110"/>
  <c r="G8" i="111"/>
  <c r="F21" i="110"/>
  <c r="E21" i="110"/>
  <c r="E8" i="111"/>
  <c r="D21" i="110"/>
  <c r="C21" i="110"/>
  <c r="C8" i="111"/>
  <c r="N7" i="111"/>
  <c r="M18" i="110"/>
  <c r="M7" i="111"/>
  <c r="L18" i="110"/>
  <c r="L7" i="111"/>
  <c r="K18" i="110"/>
  <c r="K7" i="111"/>
  <c r="J18" i="110"/>
  <c r="J7" i="111"/>
  <c r="I18" i="110"/>
  <c r="I7" i="111"/>
  <c r="H18" i="110"/>
  <c r="G18" i="110"/>
  <c r="G7" i="111"/>
  <c r="F18" i="110"/>
  <c r="F7" i="111"/>
  <c r="E18" i="110"/>
  <c r="E7" i="111"/>
  <c r="D18" i="110"/>
  <c r="C18" i="110"/>
  <c r="C7" i="111"/>
  <c r="D5" i="111"/>
  <c r="C10" i="110"/>
  <c r="N10" i="110"/>
  <c r="N14" i="111"/>
  <c r="N16" i="111"/>
  <c r="M14" i="111"/>
  <c r="M16" i="111"/>
  <c r="L14" i="111"/>
  <c r="L16" i="111"/>
  <c r="L18" i="111"/>
  <c r="K14" i="111"/>
  <c r="K16" i="111"/>
  <c r="K18" i="111"/>
  <c r="J14" i="111"/>
  <c r="J16" i="111"/>
  <c r="I14" i="111"/>
  <c r="I16" i="111"/>
  <c r="H14" i="111"/>
  <c r="H16" i="111"/>
  <c r="H18" i="111"/>
  <c r="G14" i="111"/>
  <c r="G16" i="111"/>
  <c r="G18" i="111"/>
  <c r="F14" i="111"/>
  <c r="F16" i="111"/>
  <c r="E14" i="111"/>
  <c r="E16" i="111"/>
  <c r="N15" i="110"/>
  <c r="C4" i="110"/>
  <c r="D14" i="111"/>
  <c r="D16" i="111"/>
  <c r="D18" i="111"/>
  <c r="C14" i="111"/>
  <c r="C16" i="111"/>
  <c r="C18" i="111"/>
  <c r="O33" i="114"/>
  <c r="N5" i="114"/>
  <c r="N9" i="114"/>
  <c r="P9" i="114"/>
  <c r="N11" i="114"/>
  <c r="P11" i="114"/>
  <c r="N13" i="114"/>
  <c r="P13" i="114"/>
  <c r="N15" i="114"/>
  <c r="N21" i="114"/>
  <c r="P21" i="114"/>
  <c r="P9" i="115"/>
  <c r="P13" i="115"/>
  <c r="P6" i="115"/>
  <c r="P10" i="115"/>
  <c r="P14" i="115"/>
  <c r="P8" i="115"/>
  <c r="P12" i="115"/>
  <c r="P16" i="115"/>
  <c r="P21" i="115"/>
  <c r="P20" i="115"/>
  <c r="P18" i="115"/>
  <c r="P22" i="113"/>
  <c r="P26" i="113"/>
  <c r="P30" i="113"/>
  <c r="P34" i="113"/>
  <c r="P38" i="113"/>
  <c r="P42" i="113"/>
  <c r="N23" i="114"/>
  <c r="P23" i="114"/>
  <c r="N25" i="114"/>
  <c r="P25" i="114"/>
  <c r="C29" i="110"/>
  <c r="N29" i="110"/>
  <c r="P29" i="110"/>
  <c r="N29" i="114"/>
  <c r="P29" i="114"/>
  <c r="N19" i="114"/>
  <c r="P19" i="114"/>
  <c r="N31" i="114"/>
  <c r="P31" i="114"/>
  <c r="N19" i="110"/>
  <c r="P19" i="110"/>
  <c r="E28" i="110"/>
  <c r="E30" i="110"/>
  <c r="E32" i="110"/>
  <c r="E33" i="110"/>
  <c r="E33" i="104"/>
  <c r="E34" i="110"/>
  <c r="I28" i="110"/>
  <c r="M28" i="110"/>
  <c r="M30" i="110"/>
  <c r="M32" i="110"/>
  <c r="M33" i="110"/>
  <c r="M4" i="104"/>
  <c r="M5" i="104"/>
  <c r="M6" i="104"/>
  <c r="M7" i="104"/>
  <c r="M8" i="104"/>
  <c r="M9" i="104"/>
  <c r="M10" i="104"/>
  <c r="M11" i="104"/>
  <c r="M12" i="104"/>
  <c r="M13" i="104"/>
  <c r="M14" i="104"/>
  <c r="M15" i="104"/>
  <c r="M16" i="104"/>
  <c r="M17" i="104"/>
  <c r="M18" i="104"/>
  <c r="M19" i="104"/>
  <c r="M20" i="104"/>
  <c r="M21" i="104"/>
  <c r="M22" i="104"/>
  <c r="M23" i="104"/>
  <c r="M24" i="104"/>
  <c r="M25" i="104"/>
  <c r="M26" i="104"/>
  <c r="M27" i="104"/>
  <c r="M28" i="104"/>
  <c r="M29" i="104"/>
  <c r="M30" i="104"/>
  <c r="M31" i="104"/>
  <c r="M32" i="104"/>
  <c r="M33" i="104"/>
  <c r="M34" i="110"/>
  <c r="I30" i="110"/>
  <c r="I32" i="110"/>
  <c r="N6" i="114"/>
  <c r="P6" i="114"/>
  <c r="N8" i="114"/>
  <c r="P8" i="114"/>
  <c r="N10" i="114"/>
  <c r="P10" i="114"/>
  <c r="N12" i="114"/>
  <c r="P12" i="114"/>
  <c r="N14" i="114"/>
  <c r="P14" i="114"/>
  <c r="N16" i="114"/>
  <c r="P16" i="114"/>
  <c r="N18" i="114"/>
  <c r="P18" i="114"/>
  <c r="N20" i="114"/>
  <c r="N22" i="114"/>
  <c r="P22" i="114"/>
  <c r="N24" i="114"/>
  <c r="P24" i="114"/>
  <c r="N26" i="114"/>
  <c r="P26" i="114"/>
  <c r="N28" i="114"/>
  <c r="N30" i="114"/>
  <c r="P30" i="114"/>
  <c r="N32" i="114"/>
  <c r="P32" i="114"/>
  <c r="N16" i="110"/>
  <c r="P16" i="110"/>
  <c r="N17" i="110"/>
  <c r="P17" i="110"/>
  <c r="N20" i="110"/>
  <c r="P20" i="110"/>
  <c r="N22" i="110"/>
  <c r="P22" i="110"/>
  <c r="N23" i="110"/>
  <c r="P23" i="110"/>
  <c r="N25" i="110"/>
  <c r="P25" i="110"/>
  <c r="N26" i="110"/>
  <c r="P26" i="110"/>
  <c r="N31" i="110"/>
  <c r="P31" i="110"/>
  <c r="O5" i="111"/>
  <c r="O6" i="111"/>
  <c r="Q6" i="111"/>
  <c r="O7" i="111"/>
  <c r="O8" i="111"/>
  <c r="Q8" i="111"/>
  <c r="O9" i="111"/>
  <c r="Q9" i="111"/>
  <c r="O10" i="111"/>
  <c r="Q10" i="111"/>
  <c r="O11" i="111"/>
  <c r="O12" i="111"/>
  <c r="Q12" i="111"/>
  <c r="O13" i="111"/>
  <c r="Q13" i="111"/>
  <c r="H33" i="110"/>
  <c r="H33" i="104"/>
  <c r="H34" i="110"/>
  <c r="B18" i="110"/>
  <c r="N18" i="110"/>
  <c r="P18" i="110"/>
  <c r="B21" i="110"/>
  <c r="N21" i="110"/>
  <c r="P21" i="110"/>
  <c r="B24" i="110"/>
  <c r="N24" i="110"/>
  <c r="P24" i="110"/>
  <c r="B27" i="110"/>
  <c r="N27" i="110"/>
  <c r="P27" i="110"/>
  <c r="B28" i="110"/>
  <c r="N28" i="110"/>
  <c r="P28" i="110"/>
  <c r="B30" i="110"/>
  <c r="B32" i="110"/>
  <c r="D33" i="110"/>
  <c r="D33" i="104"/>
  <c r="D34" i="110"/>
  <c r="L33" i="110"/>
  <c r="L4" i="104"/>
  <c r="L5" i="104"/>
  <c r="L6" i="104"/>
  <c r="L7" i="104"/>
  <c r="L8" i="104"/>
  <c r="L9" i="104"/>
  <c r="L10" i="104"/>
  <c r="L11" i="104"/>
  <c r="L12" i="104"/>
  <c r="L13" i="104"/>
  <c r="L14" i="104"/>
  <c r="L15" i="104"/>
  <c r="L16" i="104"/>
  <c r="L17" i="104"/>
  <c r="L18" i="104"/>
  <c r="L19" i="104"/>
  <c r="L20" i="104"/>
  <c r="L21" i="104"/>
  <c r="L22" i="104"/>
  <c r="L23" i="104"/>
  <c r="L24" i="104"/>
  <c r="L25" i="104"/>
  <c r="L26" i="104"/>
  <c r="L27" i="104"/>
  <c r="L28" i="104"/>
  <c r="L29" i="104"/>
  <c r="L30" i="104"/>
  <c r="L31" i="104"/>
  <c r="L32" i="104"/>
  <c r="L33" i="104"/>
  <c r="L34" i="110"/>
  <c r="P4" i="112"/>
  <c r="P8" i="112"/>
  <c r="P12" i="112"/>
  <c r="P16" i="112"/>
  <c r="O32" i="112"/>
  <c r="P10" i="112"/>
  <c r="P14" i="112"/>
  <c r="E18" i="111"/>
  <c r="I18" i="111"/>
  <c r="M18" i="111"/>
  <c r="F18" i="111"/>
  <c r="J18" i="111"/>
  <c r="N18" i="111"/>
  <c r="O33" i="110"/>
  <c r="F33" i="110"/>
  <c r="F33" i="104"/>
  <c r="F34" i="110"/>
  <c r="G33" i="110"/>
  <c r="G33" i="104"/>
  <c r="G34" i="110"/>
  <c r="K33" i="110"/>
  <c r="K4" i="104"/>
  <c r="K5" i="104"/>
  <c r="K6" i="104"/>
  <c r="K7" i="104"/>
  <c r="K8" i="104"/>
  <c r="K9" i="104"/>
  <c r="K10" i="104"/>
  <c r="K11" i="104"/>
  <c r="K12" i="104"/>
  <c r="K13" i="104"/>
  <c r="K14" i="104"/>
  <c r="K15" i="104"/>
  <c r="K16" i="104"/>
  <c r="K17" i="104"/>
  <c r="K18" i="104"/>
  <c r="K19" i="104"/>
  <c r="K20" i="104"/>
  <c r="K21" i="104"/>
  <c r="K22" i="104"/>
  <c r="K23" i="104"/>
  <c r="K24" i="104"/>
  <c r="K25" i="104"/>
  <c r="K26" i="104"/>
  <c r="K27" i="104"/>
  <c r="K28" i="104"/>
  <c r="K29" i="104"/>
  <c r="K30" i="104"/>
  <c r="K31" i="104"/>
  <c r="K32" i="104"/>
  <c r="K33" i="104"/>
  <c r="K34" i="110"/>
  <c r="J33" i="110"/>
  <c r="J4" i="104"/>
  <c r="J5" i="104"/>
  <c r="J6" i="104"/>
  <c r="J7" i="104"/>
  <c r="J8" i="104"/>
  <c r="J9" i="104"/>
  <c r="J10" i="104"/>
  <c r="J11" i="104"/>
  <c r="J12" i="104"/>
  <c r="J13" i="104"/>
  <c r="J14" i="104"/>
  <c r="J15" i="104"/>
  <c r="J16" i="104"/>
  <c r="J17" i="104"/>
  <c r="J18" i="104"/>
  <c r="J19" i="104"/>
  <c r="J20" i="104"/>
  <c r="J21" i="104"/>
  <c r="J22" i="104"/>
  <c r="J23" i="104"/>
  <c r="J24" i="104"/>
  <c r="J25" i="104"/>
  <c r="J26" i="104"/>
  <c r="J27" i="104"/>
  <c r="J28" i="104"/>
  <c r="J29" i="104"/>
  <c r="J30" i="104"/>
  <c r="J31" i="104"/>
  <c r="J32" i="104"/>
  <c r="J33" i="104"/>
  <c r="J34" i="110"/>
  <c r="Q21" i="115"/>
  <c r="P7" i="114"/>
  <c r="P15" i="114"/>
  <c r="P27" i="114"/>
  <c r="P20" i="114"/>
  <c r="P28" i="114"/>
  <c r="P5" i="114"/>
  <c r="P17" i="114"/>
  <c r="N4" i="114"/>
  <c r="P8" i="113"/>
  <c r="P16" i="113"/>
  <c r="P4" i="113"/>
  <c r="P6" i="113"/>
  <c r="P10" i="113"/>
  <c r="P12" i="113"/>
  <c r="P14" i="113"/>
  <c r="P18" i="113"/>
  <c r="P20" i="113"/>
  <c r="P29" i="113"/>
  <c r="P37" i="113"/>
  <c r="Q5" i="113"/>
  <c r="P5" i="113"/>
  <c r="P7" i="113"/>
  <c r="P9" i="113"/>
  <c r="P11" i="113"/>
  <c r="P13" i="113"/>
  <c r="P15" i="113"/>
  <c r="P17" i="113"/>
  <c r="P19" i="113"/>
  <c r="P21" i="113"/>
  <c r="P33" i="113"/>
  <c r="P41" i="113"/>
  <c r="P25" i="113"/>
  <c r="P24" i="113"/>
  <c r="P28" i="113"/>
  <c r="P32" i="113"/>
  <c r="P36" i="113"/>
  <c r="P40" i="113"/>
  <c r="P44" i="113"/>
  <c r="N32" i="112"/>
  <c r="Q24" i="112"/>
  <c r="P18" i="112"/>
  <c r="P19" i="112"/>
  <c r="P20" i="112"/>
  <c r="P21" i="112"/>
  <c r="P22" i="112"/>
  <c r="P23" i="112"/>
  <c r="P24" i="112"/>
  <c r="P25" i="112"/>
  <c r="P26" i="112"/>
  <c r="P27" i="112"/>
  <c r="P28" i="112"/>
  <c r="P29" i="112"/>
  <c r="P30" i="112"/>
  <c r="P31" i="112"/>
  <c r="Q7" i="111"/>
  <c r="Q11" i="111"/>
  <c r="Q5" i="111"/>
  <c r="O4" i="111"/>
  <c r="I33" i="110"/>
  <c r="I4" i="104"/>
  <c r="I5" i="104"/>
  <c r="I6" i="104"/>
  <c r="I7" i="104"/>
  <c r="I8" i="104"/>
  <c r="I9" i="104"/>
  <c r="I10" i="104"/>
  <c r="I11" i="104"/>
  <c r="I12" i="104"/>
  <c r="I13" i="104"/>
  <c r="I14" i="104"/>
  <c r="I15" i="104"/>
  <c r="I16" i="104"/>
  <c r="I17" i="104"/>
  <c r="I18" i="104"/>
  <c r="I19" i="104"/>
  <c r="I20" i="104"/>
  <c r="I21" i="104"/>
  <c r="I22" i="104"/>
  <c r="I23" i="104"/>
  <c r="I24" i="104"/>
  <c r="I25" i="104"/>
  <c r="I26" i="104"/>
  <c r="I27" i="104"/>
  <c r="I28" i="104"/>
  <c r="I29" i="104"/>
  <c r="I30" i="104"/>
  <c r="I31" i="104"/>
  <c r="I32" i="104"/>
  <c r="I33" i="104"/>
  <c r="I34" i="110"/>
  <c r="P8" i="110"/>
  <c r="P12" i="110"/>
  <c r="N4" i="110"/>
  <c r="N6" i="110"/>
  <c r="P9" i="110"/>
  <c r="P13" i="110"/>
  <c r="P10" i="110"/>
  <c r="P14" i="110"/>
  <c r="N5" i="110"/>
  <c r="N7" i="110"/>
  <c r="P11" i="110"/>
  <c r="P15" i="110"/>
  <c r="C13" i="97"/>
  <c r="B32" i="100"/>
  <c r="B32" i="96"/>
  <c r="D13" i="97"/>
  <c r="C32" i="100"/>
  <c r="C32" i="96"/>
  <c r="E13" i="97"/>
  <c r="D32" i="100"/>
  <c r="D32" i="96"/>
  <c r="F13" i="97"/>
  <c r="E32" i="100"/>
  <c r="E32" i="96"/>
  <c r="G13" i="97"/>
  <c r="F32" i="100"/>
  <c r="F32" i="96"/>
  <c r="H13" i="97"/>
  <c r="G32" i="100"/>
  <c r="G32" i="96"/>
  <c r="I13" i="97"/>
  <c r="H32" i="100"/>
  <c r="H32" i="96"/>
  <c r="J13" i="97"/>
  <c r="I32" i="100"/>
  <c r="I32" i="96"/>
  <c r="K13" i="97"/>
  <c r="J32" i="100"/>
  <c r="J32" i="96"/>
  <c r="L13" i="97"/>
  <c r="K32" i="100"/>
  <c r="K32" i="96"/>
  <c r="M13" i="97"/>
  <c r="L32" i="100"/>
  <c r="L32" i="96"/>
  <c r="N13" i="97"/>
  <c r="M32" i="100"/>
  <c r="M32" i="96"/>
  <c r="O32" i="104"/>
  <c r="B31" i="100"/>
  <c r="B31" i="96"/>
  <c r="C31" i="100"/>
  <c r="C31" i="96"/>
  <c r="D31" i="100"/>
  <c r="D31" i="96"/>
  <c r="E31" i="100"/>
  <c r="E31" i="96"/>
  <c r="F31" i="100"/>
  <c r="F31" i="96"/>
  <c r="G31" i="100"/>
  <c r="G31" i="96"/>
  <c r="H31" i="100"/>
  <c r="H31" i="96"/>
  <c r="I31" i="100"/>
  <c r="I31" i="96"/>
  <c r="J31" i="100"/>
  <c r="J31" i="96"/>
  <c r="K31" i="100"/>
  <c r="K31" i="96"/>
  <c r="L31" i="100"/>
  <c r="L31" i="96"/>
  <c r="M31" i="100"/>
  <c r="M31" i="96"/>
  <c r="O31" i="104"/>
  <c r="C12" i="97"/>
  <c r="B30" i="100"/>
  <c r="B30" i="96"/>
  <c r="D12" i="97"/>
  <c r="C30" i="100"/>
  <c r="C30" i="96"/>
  <c r="E12" i="97"/>
  <c r="D30" i="100"/>
  <c r="D30" i="96"/>
  <c r="F12" i="97"/>
  <c r="E30" i="100"/>
  <c r="E30" i="96"/>
  <c r="G12" i="97"/>
  <c r="F30" i="100"/>
  <c r="F30" i="96"/>
  <c r="H12" i="97"/>
  <c r="G30" i="100"/>
  <c r="G30" i="96"/>
  <c r="I12" i="97"/>
  <c r="H30" i="100"/>
  <c r="H30" i="96"/>
  <c r="J12" i="97"/>
  <c r="I30" i="100"/>
  <c r="I30" i="96"/>
  <c r="K12" i="97"/>
  <c r="J30" i="100"/>
  <c r="J30" i="96"/>
  <c r="L12" i="97"/>
  <c r="K30" i="100"/>
  <c r="K30" i="96"/>
  <c r="M12" i="97"/>
  <c r="L30" i="100"/>
  <c r="L30" i="96"/>
  <c r="N12" i="97"/>
  <c r="M30" i="100"/>
  <c r="M30" i="96"/>
  <c r="O30" i="104"/>
  <c r="B29" i="100"/>
  <c r="B29" i="96"/>
  <c r="C29" i="100"/>
  <c r="C29" i="96"/>
  <c r="D29" i="100"/>
  <c r="D29" i="96"/>
  <c r="E29" i="100"/>
  <c r="E29" i="96"/>
  <c r="F29" i="100"/>
  <c r="F29" i="96"/>
  <c r="G29" i="100"/>
  <c r="G29" i="96"/>
  <c r="H29" i="100"/>
  <c r="H29" i="96"/>
  <c r="I29" i="100"/>
  <c r="I29" i="96"/>
  <c r="J29" i="100"/>
  <c r="J29" i="96"/>
  <c r="K29" i="100"/>
  <c r="K29" i="96"/>
  <c r="L29" i="100"/>
  <c r="L29" i="96"/>
  <c r="M29" i="100"/>
  <c r="M29" i="96"/>
  <c r="O29" i="104"/>
  <c r="C11" i="97"/>
  <c r="B28" i="100"/>
  <c r="B28" i="96"/>
  <c r="D11" i="97"/>
  <c r="C28" i="100"/>
  <c r="C28" i="96"/>
  <c r="E11" i="97"/>
  <c r="D28" i="100"/>
  <c r="D28" i="96"/>
  <c r="F11" i="97"/>
  <c r="E28" i="100"/>
  <c r="E28" i="96"/>
  <c r="G11" i="97"/>
  <c r="F28" i="100"/>
  <c r="F28" i="96"/>
  <c r="H11" i="97"/>
  <c r="G28" i="100"/>
  <c r="G28" i="96"/>
  <c r="I11" i="97"/>
  <c r="H28" i="100"/>
  <c r="H28" i="96"/>
  <c r="J11" i="97"/>
  <c r="I28" i="100"/>
  <c r="I28" i="96"/>
  <c r="K11" i="97"/>
  <c r="J28" i="100"/>
  <c r="J28" i="96"/>
  <c r="L11" i="97"/>
  <c r="K28" i="100"/>
  <c r="K28" i="96"/>
  <c r="M11" i="97"/>
  <c r="L28" i="100"/>
  <c r="L28" i="96"/>
  <c r="N11" i="97"/>
  <c r="M28" i="100"/>
  <c r="M28" i="96"/>
  <c r="O28" i="104"/>
  <c r="C10" i="97"/>
  <c r="B27" i="100"/>
  <c r="B27" i="96"/>
  <c r="D10" i="97"/>
  <c r="C27" i="100"/>
  <c r="C27" i="96"/>
  <c r="E10" i="97"/>
  <c r="D27" i="100"/>
  <c r="D27" i="96"/>
  <c r="F10" i="97"/>
  <c r="E27" i="100"/>
  <c r="E27" i="96"/>
  <c r="G10" i="97"/>
  <c r="F27" i="100"/>
  <c r="F27" i="96"/>
  <c r="H10" i="97"/>
  <c r="G27" i="100"/>
  <c r="G27" i="96"/>
  <c r="I10" i="97"/>
  <c r="H27" i="100"/>
  <c r="H27" i="96"/>
  <c r="J10" i="97"/>
  <c r="I27" i="100"/>
  <c r="I27" i="96"/>
  <c r="K10" i="97"/>
  <c r="J27" i="100"/>
  <c r="J27" i="96"/>
  <c r="L10" i="97"/>
  <c r="K27" i="100"/>
  <c r="K27" i="96"/>
  <c r="M10" i="97"/>
  <c r="L27" i="100"/>
  <c r="L27" i="96"/>
  <c r="N10" i="97"/>
  <c r="M27" i="100"/>
  <c r="M27" i="96"/>
  <c r="O27" i="104"/>
  <c r="B26" i="100"/>
  <c r="B26" i="96"/>
  <c r="C26" i="100"/>
  <c r="C26" i="96"/>
  <c r="D26" i="100"/>
  <c r="D26" i="96"/>
  <c r="E26" i="100"/>
  <c r="E26" i="96"/>
  <c r="F26" i="100"/>
  <c r="F26" i="96"/>
  <c r="G26" i="100"/>
  <c r="G26" i="96"/>
  <c r="H26" i="100"/>
  <c r="H26" i="96"/>
  <c r="I26" i="100"/>
  <c r="I26" i="96"/>
  <c r="J26" i="100"/>
  <c r="J26" i="96"/>
  <c r="K26" i="100"/>
  <c r="K26" i="96"/>
  <c r="L26" i="100"/>
  <c r="L26" i="96"/>
  <c r="M26" i="100"/>
  <c r="M26" i="96"/>
  <c r="O26" i="104"/>
  <c r="B25" i="100"/>
  <c r="B25" i="96"/>
  <c r="C25" i="100"/>
  <c r="C25" i="96"/>
  <c r="D25" i="100"/>
  <c r="D25" i="96"/>
  <c r="E25" i="100"/>
  <c r="E25" i="96"/>
  <c r="F25" i="100"/>
  <c r="F25" i="96"/>
  <c r="G25" i="100"/>
  <c r="G25" i="96"/>
  <c r="H25" i="100"/>
  <c r="H25" i="96"/>
  <c r="I25" i="100"/>
  <c r="I25" i="96"/>
  <c r="J25" i="100"/>
  <c r="J25" i="96"/>
  <c r="K25" i="100"/>
  <c r="K25" i="96"/>
  <c r="L25" i="100"/>
  <c r="L25" i="96"/>
  <c r="M25" i="100"/>
  <c r="M25" i="96"/>
  <c r="O25" i="104"/>
  <c r="B24" i="100"/>
  <c r="C9" i="97"/>
  <c r="B24" i="96"/>
  <c r="C24" i="100"/>
  <c r="D9" i="97"/>
  <c r="C24" i="96"/>
  <c r="D24" i="100"/>
  <c r="E9" i="97"/>
  <c r="D24" i="96"/>
  <c r="E24" i="100"/>
  <c r="F9" i="97"/>
  <c r="E24" i="96"/>
  <c r="F24" i="100"/>
  <c r="G9" i="97"/>
  <c r="F24" i="96"/>
  <c r="G24" i="100"/>
  <c r="H9" i="97"/>
  <c r="G24" i="96"/>
  <c r="H24" i="100"/>
  <c r="I9" i="97"/>
  <c r="H24" i="96"/>
  <c r="I24" i="100"/>
  <c r="J9" i="97"/>
  <c r="I24" i="96"/>
  <c r="J24" i="100"/>
  <c r="K9" i="97"/>
  <c r="J24" i="96"/>
  <c r="K24" i="100"/>
  <c r="L9" i="97"/>
  <c r="K24" i="96"/>
  <c r="L24" i="100"/>
  <c r="M9" i="97"/>
  <c r="L24" i="96"/>
  <c r="M24" i="100"/>
  <c r="N9" i="97"/>
  <c r="M24" i="96"/>
  <c r="O24" i="104"/>
  <c r="B23" i="100"/>
  <c r="B23" i="96"/>
  <c r="C23" i="100"/>
  <c r="C23" i="96"/>
  <c r="D23" i="100"/>
  <c r="D23" i="96"/>
  <c r="E23" i="100"/>
  <c r="E23" i="96"/>
  <c r="F23" i="100"/>
  <c r="F23" i="96"/>
  <c r="G23" i="100"/>
  <c r="G23" i="96"/>
  <c r="H23" i="100"/>
  <c r="H23" i="96"/>
  <c r="I23" i="100"/>
  <c r="I23" i="96"/>
  <c r="J23" i="100"/>
  <c r="J23" i="96"/>
  <c r="K23" i="100"/>
  <c r="K23" i="96"/>
  <c r="L23" i="100"/>
  <c r="L23" i="96"/>
  <c r="M23" i="100"/>
  <c r="M23" i="96"/>
  <c r="O23" i="104"/>
  <c r="B22" i="100"/>
  <c r="B22" i="96"/>
  <c r="C22" i="100"/>
  <c r="C22" i="96"/>
  <c r="D22" i="100"/>
  <c r="D22" i="96"/>
  <c r="E22" i="100"/>
  <c r="E22" i="96"/>
  <c r="F22" i="100"/>
  <c r="F22" i="96"/>
  <c r="G22" i="100"/>
  <c r="G22" i="96"/>
  <c r="H22" i="100"/>
  <c r="H22" i="96"/>
  <c r="I22" i="100"/>
  <c r="I22" i="96"/>
  <c r="J22" i="100"/>
  <c r="J22" i="96"/>
  <c r="K22" i="100"/>
  <c r="K22" i="96"/>
  <c r="L22" i="100"/>
  <c r="L22" i="96"/>
  <c r="M22" i="100"/>
  <c r="M22" i="96"/>
  <c r="O22" i="104"/>
  <c r="B21" i="100"/>
  <c r="C8" i="97"/>
  <c r="B21" i="96"/>
  <c r="C21" i="100"/>
  <c r="D8" i="97"/>
  <c r="C21" i="96"/>
  <c r="D21" i="100"/>
  <c r="E8" i="97"/>
  <c r="D21" i="96"/>
  <c r="E21" i="100"/>
  <c r="F8" i="97"/>
  <c r="E21" i="96"/>
  <c r="F21" i="100"/>
  <c r="G8" i="97"/>
  <c r="F21" i="96"/>
  <c r="G21" i="100"/>
  <c r="H8" i="97"/>
  <c r="G21" i="96"/>
  <c r="H21" i="100"/>
  <c r="I8" i="97"/>
  <c r="H21" i="96"/>
  <c r="I21" i="100"/>
  <c r="J8" i="97"/>
  <c r="I21" i="96"/>
  <c r="J21" i="100"/>
  <c r="K8" i="97"/>
  <c r="J21" i="96"/>
  <c r="K21" i="100"/>
  <c r="L8" i="97"/>
  <c r="K21" i="96"/>
  <c r="L21" i="100"/>
  <c r="M8" i="97"/>
  <c r="L21" i="96"/>
  <c r="M21" i="100"/>
  <c r="N8" i="97"/>
  <c r="M21" i="96"/>
  <c r="O21" i="104"/>
  <c r="B20" i="100"/>
  <c r="B20" i="96"/>
  <c r="C20" i="100"/>
  <c r="C20" i="96"/>
  <c r="D20" i="100"/>
  <c r="D20" i="96"/>
  <c r="E20" i="100"/>
  <c r="E20" i="96"/>
  <c r="F20" i="100"/>
  <c r="F20" i="96"/>
  <c r="G20" i="100"/>
  <c r="G20" i="96"/>
  <c r="H20" i="100"/>
  <c r="H20" i="96"/>
  <c r="I20" i="100"/>
  <c r="I20" i="96"/>
  <c r="J20" i="100"/>
  <c r="J20" i="96"/>
  <c r="K20" i="100"/>
  <c r="K20" i="96"/>
  <c r="L20" i="100"/>
  <c r="L20" i="96"/>
  <c r="M20" i="100"/>
  <c r="M20" i="96"/>
  <c r="O20" i="104"/>
  <c r="B19" i="100"/>
  <c r="B19" i="96"/>
  <c r="C19" i="100"/>
  <c r="C19" i="96"/>
  <c r="D19" i="100"/>
  <c r="D19" i="96"/>
  <c r="E19" i="100"/>
  <c r="E19" i="96"/>
  <c r="F19" i="100"/>
  <c r="F19" i="96"/>
  <c r="G19" i="100"/>
  <c r="G19" i="96"/>
  <c r="H19" i="100"/>
  <c r="H19" i="96"/>
  <c r="I19" i="100"/>
  <c r="I19" i="96"/>
  <c r="J19" i="100"/>
  <c r="J19" i="96"/>
  <c r="K19" i="100"/>
  <c r="K19" i="96"/>
  <c r="L19" i="100"/>
  <c r="L19" i="96"/>
  <c r="M19" i="100"/>
  <c r="M19" i="96"/>
  <c r="O19" i="104"/>
  <c r="B18" i="100"/>
  <c r="C7" i="97"/>
  <c r="B18" i="96"/>
  <c r="C18" i="100"/>
  <c r="D7" i="97"/>
  <c r="C18" i="96"/>
  <c r="D18" i="100"/>
  <c r="E7" i="97"/>
  <c r="D18" i="96"/>
  <c r="E18" i="100"/>
  <c r="F7" i="97"/>
  <c r="E18" i="96"/>
  <c r="F18" i="100"/>
  <c r="G7" i="97"/>
  <c r="F18" i="96"/>
  <c r="G18" i="100"/>
  <c r="H7" i="97"/>
  <c r="G18" i="96"/>
  <c r="H18" i="100"/>
  <c r="I7" i="97"/>
  <c r="H18" i="96"/>
  <c r="I18" i="100"/>
  <c r="J7" i="97"/>
  <c r="I18" i="96"/>
  <c r="J18" i="100"/>
  <c r="K7" i="97"/>
  <c r="J18" i="96"/>
  <c r="K18" i="100"/>
  <c r="L7" i="97"/>
  <c r="K18" i="96"/>
  <c r="L18" i="100"/>
  <c r="M7" i="97"/>
  <c r="L18" i="96"/>
  <c r="M18" i="100"/>
  <c r="N7" i="97"/>
  <c r="M18" i="96"/>
  <c r="O18" i="104"/>
  <c r="B17" i="100"/>
  <c r="B17" i="96"/>
  <c r="C17" i="100"/>
  <c r="C17" i="96"/>
  <c r="D17" i="100"/>
  <c r="D17" i="96"/>
  <c r="E17" i="100"/>
  <c r="E17" i="96"/>
  <c r="F17" i="100"/>
  <c r="F17" i="96"/>
  <c r="G17" i="100"/>
  <c r="G17" i="96"/>
  <c r="H17" i="100"/>
  <c r="H17" i="96"/>
  <c r="I17" i="100"/>
  <c r="I17" i="96"/>
  <c r="J17" i="100"/>
  <c r="J17" i="96"/>
  <c r="K17" i="100"/>
  <c r="K17" i="96"/>
  <c r="L17" i="100"/>
  <c r="L17" i="96"/>
  <c r="M17" i="100"/>
  <c r="M17" i="96"/>
  <c r="O17" i="104"/>
  <c r="B16" i="100"/>
  <c r="B16" i="96"/>
  <c r="C16" i="100"/>
  <c r="C16" i="96"/>
  <c r="D16" i="100"/>
  <c r="D16" i="96"/>
  <c r="E16" i="100"/>
  <c r="E16" i="96"/>
  <c r="F16" i="100"/>
  <c r="F16" i="96"/>
  <c r="G16" i="100"/>
  <c r="G16" i="96"/>
  <c r="H16" i="100"/>
  <c r="H16" i="96"/>
  <c r="I16" i="100"/>
  <c r="I16" i="96"/>
  <c r="J16" i="100"/>
  <c r="J16" i="96"/>
  <c r="K16" i="100"/>
  <c r="K16" i="96"/>
  <c r="L16" i="100"/>
  <c r="L16" i="96"/>
  <c r="M16" i="100"/>
  <c r="M16" i="96"/>
  <c r="O16" i="104"/>
  <c r="B15" i="100"/>
  <c r="B15" i="96"/>
  <c r="C15" i="100"/>
  <c r="C15" i="96"/>
  <c r="D15" i="100"/>
  <c r="D15" i="96"/>
  <c r="E15" i="100"/>
  <c r="E15" i="96"/>
  <c r="F15" i="100"/>
  <c r="F15" i="96"/>
  <c r="G15" i="100"/>
  <c r="G15" i="96"/>
  <c r="H15" i="100"/>
  <c r="H15" i="96"/>
  <c r="I15" i="100"/>
  <c r="I15" i="96"/>
  <c r="J15" i="100"/>
  <c r="J15" i="96"/>
  <c r="K15" i="100"/>
  <c r="K15" i="96"/>
  <c r="L15" i="100"/>
  <c r="L15" i="96"/>
  <c r="M15" i="100"/>
  <c r="M15" i="96"/>
  <c r="O15" i="104"/>
  <c r="B14" i="100"/>
  <c r="B14" i="96"/>
  <c r="C14" i="100"/>
  <c r="C14" i="96"/>
  <c r="D14" i="100"/>
  <c r="D14" i="96"/>
  <c r="E14" i="100"/>
  <c r="E14" i="96"/>
  <c r="F14" i="100"/>
  <c r="F14" i="96"/>
  <c r="G14" i="100"/>
  <c r="G14" i="96"/>
  <c r="H14" i="100"/>
  <c r="H14" i="96"/>
  <c r="I14" i="100"/>
  <c r="I14" i="96"/>
  <c r="J14" i="100"/>
  <c r="J14" i="96"/>
  <c r="K14" i="100"/>
  <c r="K14" i="96"/>
  <c r="L14" i="100"/>
  <c r="L14" i="96"/>
  <c r="M14" i="100"/>
  <c r="M14" i="96"/>
  <c r="O14" i="104"/>
  <c r="B13" i="100"/>
  <c r="C6" i="97"/>
  <c r="B13" i="96"/>
  <c r="C13" i="100"/>
  <c r="D6" i="97"/>
  <c r="C13" i="96"/>
  <c r="D13" i="100"/>
  <c r="E6" i="97"/>
  <c r="D13" i="96"/>
  <c r="E13" i="100"/>
  <c r="F6" i="97"/>
  <c r="E13" i="96"/>
  <c r="F13" i="100"/>
  <c r="G6" i="97"/>
  <c r="F13" i="96"/>
  <c r="G13" i="100"/>
  <c r="H6" i="97"/>
  <c r="G13" i="96"/>
  <c r="H13" i="100"/>
  <c r="I6" i="97"/>
  <c r="H13" i="96"/>
  <c r="I13" i="100"/>
  <c r="J6" i="97"/>
  <c r="I13" i="96"/>
  <c r="J13" i="100"/>
  <c r="K6" i="97"/>
  <c r="J13" i="96"/>
  <c r="K13" i="100"/>
  <c r="L6" i="97"/>
  <c r="K13" i="96"/>
  <c r="L13" i="100"/>
  <c r="M6" i="97"/>
  <c r="L13" i="96"/>
  <c r="M13" i="100"/>
  <c r="N6" i="97"/>
  <c r="M13" i="96"/>
  <c r="O13" i="104"/>
  <c r="B12" i="100"/>
  <c r="B12" i="96"/>
  <c r="C12" i="100"/>
  <c r="C12" i="96"/>
  <c r="D12" i="100"/>
  <c r="D12" i="96"/>
  <c r="E12" i="100"/>
  <c r="E12" i="96"/>
  <c r="F12" i="100"/>
  <c r="F12" i="96"/>
  <c r="G12" i="100"/>
  <c r="G12" i="96"/>
  <c r="H12" i="100"/>
  <c r="H12" i="96"/>
  <c r="I12" i="100"/>
  <c r="I12" i="96"/>
  <c r="J12" i="100"/>
  <c r="J12" i="96"/>
  <c r="K12" i="100"/>
  <c r="K12" i="96"/>
  <c r="L12" i="100"/>
  <c r="L12" i="96"/>
  <c r="M12" i="100"/>
  <c r="M12" i="96"/>
  <c r="O12" i="104"/>
  <c r="B11" i="100"/>
  <c r="B11" i="96"/>
  <c r="C11" i="100"/>
  <c r="C11" i="96"/>
  <c r="D11" i="100"/>
  <c r="D11" i="96"/>
  <c r="E11" i="100"/>
  <c r="E11" i="96"/>
  <c r="F11" i="100"/>
  <c r="F11" i="96"/>
  <c r="G11" i="100"/>
  <c r="G11" i="96"/>
  <c r="H11" i="100"/>
  <c r="H11" i="96"/>
  <c r="I11" i="100"/>
  <c r="I11" i="96"/>
  <c r="J11" i="100"/>
  <c r="J11" i="96"/>
  <c r="K11" i="100"/>
  <c r="K11" i="96"/>
  <c r="L11" i="100"/>
  <c r="L11" i="96"/>
  <c r="M11" i="100"/>
  <c r="M11" i="96"/>
  <c r="O11" i="104"/>
  <c r="B10" i="100"/>
  <c r="C5" i="97"/>
  <c r="B10" i="96"/>
  <c r="C10" i="100"/>
  <c r="D5" i="97"/>
  <c r="C10" i="96"/>
  <c r="D10" i="100"/>
  <c r="E5" i="97"/>
  <c r="D10" i="96"/>
  <c r="E10" i="100"/>
  <c r="F5" i="97"/>
  <c r="E10" i="96"/>
  <c r="F10" i="100"/>
  <c r="G5" i="97"/>
  <c r="F10" i="96"/>
  <c r="G10" i="100"/>
  <c r="H5" i="97"/>
  <c r="G10" i="96"/>
  <c r="H10" i="100"/>
  <c r="I5" i="97"/>
  <c r="H10" i="96"/>
  <c r="I10" i="100"/>
  <c r="J5" i="97"/>
  <c r="I10" i="96"/>
  <c r="J10" i="100"/>
  <c r="K5" i="97"/>
  <c r="J10" i="96"/>
  <c r="K10" i="100"/>
  <c r="L5" i="97"/>
  <c r="K10" i="96"/>
  <c r="L10" i="100"/>
  <c r="M5" i="97"/>
  <c r="L10" i="96"/>
  <c r="M10" i="100"/>
  <c r="N5" i="97"/>
  <c r="M10" i="96"/>
  <c r="O10" i="104"/>
  <c r="B9" i="100"/>
  <c r="C4" i="97"/>
  <c r="B9" i="96"/>
  <c r="C9" i="100"/>
  <c r="D4" i="97"/>
  <c r="C9" i="96"/>
  <c r="D9" i="100"/>
  <c r="E4" i="97"/>
  <c r="D9" i="96"/>
  <c r="E9" i="100"/>
  <c r="F4" i="97"/>
  <c r="E9" i="96"/>
  <c r="F9" i="100"/>
  <c r="G4" i="97"/>
  <c r="F9" i="96"/>
  <c r="G9" i="100"/>
  <c r="H4" i="97"/>
  <c r="G9" i="96"/>
  <c r="H9" i="100"/>
  <c r="I4" i="97"/>
  <c r="H9" i="96"/>
  <c r="I9" i="100"/>
  <c r="J4" i="97"/>
  <c r="I9" i="96"/>
  <c r="J9" i="100"/>
  <c r="K4" i="97"/>
  <c r="J9" i="96"/>
  <c r="K9" i="100"/>
  <c r="L4" i="97"/>
  <c r="K9" i="96"/>
  <c r="L9" i="100"/>
  <c r="M4" i="97"/>
  <c r="L9" i="96"/>
  <c r="M9" i="100"/>
  <c r="N4" i="97"/>
  <c r="M9" i="96"/>
  <c r="O9" i="104"/>
  <c r="B8" i="100"/>
  <c r="B8" i="96"/>
  <c r="C8" i="100"/>
  <c r="C8" i="96"/>
  <c r="D8" i="100"/>
  <c r="D8" i="96"/>
  <c r="E8" i="100"/>
  <c r="E8" i="96"/>
  <c r="F8" i="100"/>
  <c r="F8" i="96"/>
  <c r="G8" i="100"/>
  <c r="G8" i="96"/>
  <c r="H8" i="100"/>
  <c r="H8" i="96"/>
  <c r="I8" i="100"/>
  <c r="I8" i="96"/>
  <c r="J8" i="100"/>
  <c r="J8" i="96"/>
  <c r="K8" i="100"/>
  <c r="K8" i="96"/>
  <c r="L8" i="100"/>
  <c r="L8" i="96"/>
  <c r="M8" i="100"/>
  <c r="M8" i="96"/>
  <c r="O8" i="104"/>
  <c r="B7" i="100"/>
  <c r="B7" i="96"/>
  <c r="C7" i="100"/>
  <c r="C7" i="96"/>
  <c r="D7" i="100"/>
  <c r="D7" i="96"/>
  <c r="E7" i="100"/>
  <c r="E7" i="96"/>
  <c r="F7" i="100"/>
  <c r="F7" i="96"/>
  <c r="G7" i="100"/>
  <c r="G7" i="96"/>
  <c r="H7" i="100"/>
  <c r="H7" i="96"/>
  <c r="I7" i="100"/>
  <c r="I7" i="96"/>
  <c r="J7" i="100"/>
  <c r="J7" i="96"/>
  <c r="K7" i="100"/>
  <c r="K7" i="96"/>
  <c r="L7" i="100"/>
  <c r="L7" i="96"/>
  <c r="M7" i="100"/>
  <c r="M7" i="96"/>
  <c r="O7" i="104"/>
  <c r="B6" i="100"/>
  <c r="B6" i="96"/>
  <c r="C6" i="100"/>
  <c r="C6" i="96"/>
  <c r="D6" i="100"/>
  <c r="D6" i="96"/>
  <c r="E6" i="100"/>
  <c r="E6" i="96"/>
  <c r="F6" i="100"/>
  <c r="F6" i="96"/>
  <c r="G6" i="100"/>
  <c r="G6" i="96"/>
  <c r="H6" i="100"/>
  <c r="H6" i="96"/>
  <c r="I6" i="100"/>
  <c r="I6" i="96"/>
  <c r="J6" i="100"/>
  <c r="J6" i="96"/>
  <c r="K6" i="100"/>
  <c r="K6" i="96"/>
  <c r="L6" i="100"/>
  <c r="L6" i="96"/>
  <c r="M6" i="100"/>
  <c r="M6" i="96"/>
  <c r="O6" i="104"/>
  <c r="B5" i="100"/>
  <c r="B5" i="96"/>
  <c r="C5" i="100"/>
  <c r="C5" i="96"/>
  <c r="D5" i="100"/>
  <c r="D5" i="96"/>
  <c r="E5" i="100"/>
  <c r="E5" i="96"/>
  <c r="F5" i="100"/>
  <c r="F5" i="96"/>
  <c r="G5" i="100"/>
  <c r="G5" i="96"/>
  <c r="H5" i="100"/>
  <c r="H5" i="96"/>
  <c r="I5" i="100"/>
  <c r="I5" i="96"/>
  <c r="J5" i="100"/>
  <c r="J5" i="96"/>
  <c r="K5" i="100"/>
  <c r="K5" i="96"/>
  <c r="L5" i="100"/>
  <c r="L5" i="96"/>
  <c r="M5" i="100"/>
  <c r="M5" i="96"/>
  <c r="O5" i="104"/>
  <c r="B4" i="100"/>
  <c r="B4" i="96"/>
  <c r="C4" i="100"/>
  <c r="C4" i="96"/>
  <c r="D4" i="100"/>
  <c r="D4" i="96"/>
  <c r="E4" i="100"/>
  <c r="E4" i="96"/>
  <c r="F4" i="100"/>
  <c r="F4" i="96"/>
  <c r="G4" i="100"/>
  <c r="G4" i="96"/>
  <c r="H4" i="100"/>
  <c r="H4" i="96"/>
  <c r="I4" i="100"/>
  <c r="I4" i="96"/>
  <c r="J4" i="100"/>
  <c r="J4" i="96"/>
  <c r="K4" i="100"/>
  <c r="K4" i="96"/>
  <c r="L4" i="100"/>
  <c r="L4" i="96"/>
  <c r="M4" i="100"/>
  <c r="M4" i="96"/>
  <c r="O4" i="104"/>
  <c r="O21" i="109"/>
  <c r="O20" i="109"/>
  <c r="O19" i="109"/>
  <c r="O18" i="109"/>
  <c r="O17" i="109"/>
  <c r="O16" i="109"/>
  <c r="O15" i="109"/>
  <c r="O14" i="109"/>
  <c r="O13" i="109"/>
  <c r="O12" i="109"/>
  <c r="O11" i="109"/>
  <c r="O10" i="109"/>
  <c r="O9" i="109"/>
  <c r="O8" i="109"/>
  <c r="O7" i="109"/>
  <c r="O6" i="109"/>
  <c r="O5" i="109"/>
  <c r="O39" i="108"/>
  <c r="O32" i="108"/>
  <c r="O31" i="108"/>
  <c r="O30" i="108"/>
  <c r="O29" i="108"/>
  <c r="O28" i="108"/>
  <c r="O27" i="108"/>
  <c r="O26" i="108"/>
  <c r="O25" i="108"/>
  <c r="O24" i="108"/>
  <c r="O23" i="108"/>
  <c r="O22" i="108"/>
  <c r="O21" i="108"/>
  <c r="O20" i="108"/>
  <c r="O19" i="108"/>
  <c r="O18" i="108"/>
  <c r="O17" i="108"/>
  <c r="O16" i="108"/>
  <c r="O15" i="108"/>
  <c r="O14" i="108"/>
  <c r="O13" i="108"/>
  <c r="O12" i="108"/>
  <c r="O11" i="108"/>
  <c r="O10" i="108"/>
  <c r="O9" i="108"/>
  <c r="O8" i="108"/>
  <c r="O7" i="108"/>
  <c r="O6" i="108"/>
  <c r="O5" i="108"/>
  <c r="O4" i="108"/>
  <c r="B102" i="99"/>
  <c r="C102" i="99"/>
  <c r="D102" i="99"/>
  <c r="E102" i="99"/>
  <c r="F102" i="99"/>
  <c r="G102" i="99"/>
  <c r="H102" i="99"/>
  <c r="I102" i="99"/>
  <c r="J102" i="99"/>
  <c r="K102" i="99"/>
  <c r="L102" i="99"/>
  <c r="M102" i="99"/>
  <c r="O103" i="107"/>
  <c r="O102" i="107"/>
  <c r="O101" i="107"/>
  <c r="O100" i="107"/>
  <c r="O99" i="107"/>
  <c r="O98" i="107"/>
  <c r="O97" i="107"/>
  <c r="O96" i="107"/>
  <c r="O95" i="107"/>
  <c r="O92" i="107"/>
  <c r="O91" i="107"/>
  <c r="O90" i="107"/>
  <c r="O89" i="107"/>
  <c r="O88" i="107"/>
  <c r="O87" i="107"/>
  <c r="O86" i="107"/>
  <c r="O85" i="107"/>
  <c r="O84" i="107"/>
  <c r="O83" i="107"/>
  <c r="O82" i="107"/>
  <c r="O81" i="107"/>
  <c r="O80" i="107"/>
  <c r="O79" i="107"/>
  <c r="O78" i="107"/>
  <c r="O77" i="107"/>
  <c r="O76" i="107"/>
  <c r="O75" i="107"/>
  <c r="O74" i="107"/>
  <c r="O73" i="107"/>
  <c r="O72" i="107"/>
  <c r="O71" i="107"/>
  <c r="O70" i="107"/>
  <c r="O69" i="107"/>
  <c r="O68" i="107"/>
  <c r="O67" i="107"/>
  <c r="O66" i="107"/>
  <c r="O65" i="107"/>
  <c r="O64" i="107"/>
  <c r="O63" i="107"/>
  <c r="O62" i="107"/>
  <c r="O61" i="107"/>
  <c r="O60" i="107"/>
  <c r="O59" i="107"/>
  <c r="O58" i="107"/>
  <c r="O57" i="107"/>
  <c r="O56" i="107"/>
  <c r="O55" i="107"/>
  <c r="O54" i="107"/>
  <c r="O53" i="107"/>
  <c r="O52" i="107"/>
  <c r="O51" i="107"/>
  <c r="O50" i="107"/>
  <c r="O49" i="107"/>
  <c r="O48" i="107"/>
  <c r="O47" i="107"/>
  <c r="O46" i="107"/>
  <c r="O45" i="107"/>
  <c r="O44" i="107"/>
  <c r="O43" i="107"/>
  <c r="O42" i="107"/>
  <c r="O41" i="107"/>
  <c r="O40" i="107"/>
  <c r="O39" i="107"/>
  <c r="O38" i="107"/>
  <c r="O37" i="107"/>
  <c r="O36" i="107"/>
  <c r="O35" i="107"/>
  <c r="O34" i="107"/>
  <c r="O33" i="107"/>
  <c r="O32" i="107"/>
  <c r="O31" i="107"/>
  <c r="O30" i="107"/>
  <c r="O29" i="107"/>
  <c r="O28" i="107"/>
  <c r="O27" i="107"/>
  <c r="O26" i="107"/>
  <c r="O25" i="107"/>
  <c r="O24" i="107"/>
  <c r="O23" i="107"/>
  <c r="O22" i="107"/>
  <c r="O21" i="107"/>
  <c r="O20" i="107"/>
  <c r="O19" i="107"/>
  <c r="O18" i="107"/>
  <c r="O17" i="107"/>
  <c r="O16" i="107"/>
  <c r="O15" i="107"/>
  <c r="O14" i="107"/>
  <c r="O13" i="107"/>
  <c r="O12" i="107"/>
  <c r="O11" i="107"/>
  <c r="O10" i="107"/>
  <c r="O9" i="107"/>
  <c r="O8" i="107"/>
  <c r="O7" i="107"/>
  <c r="O6" i="107"/>
  <c r="O5" i="107"/>
  <c r="O4" i="107"/>
  <c r="O31" i="106"/>
  <c r="O30" i="106"/>
  <c r="O29" i="106"/>
  <c r="O28" i="106"/>
  <c r="O27" i="106"/>
  <c r="O26" i="106"/>
  <c r="O25" i="106"/>
  <c r="O24" i="106"/>
  <c r="O23" i="106"/>
  <c r="O22" i="106"/>
  <c r="O21" i="106"/>
  <c r="O20" i="106"/>
  <c r="O19" i="106"/>
  <c r="O18" i="106"/>
  <c r="O17" i="106"/>
  <c r="O16" i="106"/>
  <c r="O15" i="106"/>
  <c r="O14" i="106"/>
  <c r="O13" i="106"/>
  <c r="O12" i="106"/>
  <c r="O11" i="106"/>
  <c r="O10" i="106"/>
  <c r="O9" i="106"/>
  <c r="O8" i="106"/>
  <c r="O7" i="106"/>
  <c r="O6" i="106"/>
  <c r="O5" i="106"/>
  <c r="O4" i="106"/>
  <c r="P13" i="105"/>
  <c r="P12" i="105"/>
  <c r="P11" i="105"/>
  <c r="P10" i="105"/>
  <c r="P9" i="105"/>
  <c r="P8" i="105"/>
  <c r="P7" i="105"/>
  <c r="P6" i="105"/>
  <c r="P5" i="105"/>
  <c r="P4" i="105"/>
  <c r="C33" i="110"/>
  <c r="C33" i="104"/>
  <c r="C34" i="110"/>
  <c r="Q42" i="113"/>
  <c r="Q77" i="113"/>
  <c r="Q18" i="113"/>
  <c r="Q16" i="113"/>
  <c r="Q51" i="113"/>
  <c r="Q103" i="113"/>
  <c r="Q82" i="113"/>
  <c r="Q57" i="113"/>
  <c r="Q100" i="113"/>
  <c r="Q75" i="113"/>
  <c r="Q54" i="113"/>
  <c r="Q32" i="113"/>
  <c r="Q84" i="113"/>
  <c r="Q80" i="113"/>
  <c r="Q93" i="113"/>
  <c r="Q60" i="113"/>
  <c r="Q26" i="113"/>
  <c r="Q99" i="113"/>
  <c r="Q74" i="113"/>
  <c r="Q52" i="113"/>
  <c r="Q31" i="113"/>
  <c r="Q91" i="113"/>
  <c r="Q71" i="113"/>
  <c r="Q49" i="113"/>
  <c r="Q24" i="113"/>
  <c r="Q101" i="113"/>
  <c r="Q33" i="113"/>
  <c r="Q7" i="113"/>
  <c r="Q96" i="113"/>
  <c r="Q46" i="113"/>
  <c r="Q102" i="113"/>
  <c r="Q69" i="113"/>
  <c r="Q34" i="113"/>
  <c r="Q90" i="113"/>
  <c r="Q70" i="113"/>
  <c r="Q48" i="113"/>
  <c r="Q23" i="113"/>
  <c r="Q87" i="113"/>
  <c r="Q67" i="113"/>
  <c r="Q40" i="113"/>
  <c r="Q105" i="113"/>
  <c r="Q50" i="113"/>
  <c r="Q11" i="113"/>
  <c r="Q86" i="113"/>
  <c r="Q65" i="113"/>
  <c r="Q39" i="113"/>
  <c r="Q104" i="113"/>
  <c r="Q83" i="113"/>
  <c r="Q58" i="113"/>
  <c r="Q36" i="113"/>
  <c r="Q68" i="113"/>
  <c r="Q15" i="113"/>
  <c r="Q85" i="113"/>
  <c r="Q35" i="113"/>
  <c r="Q19" i="113"/>
  <c r="Q29" i="113"/>
  <c r="Q6" i="113"/>
  <c r="Q18" i="115"/>
  <c r="N32" i="110"/>
  <c r="P32" i="110"/>
  <c r="Q63" i="113"/>
  <c r="Q12" i="113"/>
  <c r="N30" i="110"/>
  <c r="P30" i="110"/>
  <c r="B33" i="110"/>
  <c r="B33" i="104"/>
  <c r="B34" i="110"/>
  <c r="Q20" i="115"/>
  <c r="Q19" i="115"/>
  <c r="Q22" i="115"/>
  <c r="Q17" i="115"/>
  <c r="P22" i="115"/>
  <c r="Q16" i="115"/>
  <c r="Q15" i="115"/>
  <c r="Q14" i="115"/>
  <c r="Q13" i="115"/>
  <c r="Q12" i="115"/>
  <c r="Q11" i="115"/>
  <c r="Q10" i="115"/>
  <c r="Q9" i="115"/>
  <c r="Q8" i="115"/>
  <c r="Q7" i="115"/>
  <c r="Q6" i="115"/>
  <c r="Q5" i="115"/>
  <c r="P4" i="114"/>
  <c r="N33" i="114"/>
  <c r="Q4" i="114"/>
  <c r="Q98" i="113"/>
  <c r="Q89" i="113"/>
  <c r="Q81" i="113"/>
  <c r="Q73" i="113"/>
  <c r="Q64" i="113"/>
  <c r="Q56" i="113"/>
  <c r="Q47" i="113"/>
  <c r="Q38" i="113"/>
  <c r="Q30" i="113"/>
  <c r="Q22" i="113"/>
  <c r="Q94" i="113"/>
  <c r="Q78" i="113"/>
  <c r="Q61" i="113"/>
  <c r="Q43" i="113"/>
  <c r="Q27" i="113"/>
  <c r="Q95" i="113"/>
  <c r="Q79" i="113"/>
  <c r="Q62" i="113"/>
  <c r="Q44" i="113"/>
  <c r="Q28" i="113"/>
  <c r="Q25" i="113"/>
  <c r="Q92" i="113"/>
  <c r="Q76" i="113"/>
  <c r="Q59" i="113"/>
  <c r="Q41" i="113"/>
  <c r="Q21" i="113"/>
  <c r="Q17" i="113"/>
  <c r="Q13" i="113"/>
  <c r="Q9" i="113"/>
  <c r="Q106" i="113"/>
  <c r="P106" i="113"/>
  <c r="Q88" i="113"/>
  <c r="Q72" i="113"/>
  <c r="Q55" i="113"/>
  <c r="Q37" i="113"/>
  <c r="Q20" i="113"/>
  <c r="Q14" i="113"/>
  <c r="Q10" i="113"/>
  <c r="Q4" i="113"/>
  <c r="Q8" i="113"/>
  <c r="Q25" i="112"/>
  <c r="Q30" i="112"/>
  <c r="Q23" i="112"/>
  <c r="Q28" i="112"/>
  <c r="Q29" i="112"/>
  <c r="Q21" i="112"/>
  <c r="Q22" i="112"/>
  <c r="Q32" i="112"/>
  <c r="P32" i="112"/>
  <c r="Q16" i="112"/>
  <c r="Q10" i="112"/>
  <c r="Q7" i="112"/>
  <c r="Q5" i="112"/>
  <c r="Q15" i="112"/>
  <c r="Q14" i="112"/>
  <c r="Q13" i="112"/>
  <c r="Q12" i="112"/>
  <c r="Q11" i="112"/>
  <c r="Q9" i="112"/>
  <c r="Q8" i="112"/>
  <c r="Q6" i="112"/>
  <c r="Q4" i="112"/>
  <c r="Q17" i="112"/>
  <c r="Q31" i="112"/>
  <c r="Q26" i="112"/>
  <c r="Q27" i="112"/>
  <c r="Q19" i="112"/>
  <c r="Q18" i="112"/>
  <c r="Q20" i="112"/>
  <c r="O14" i="111"/>
  <c r="R4" i="111"/>
  <c r="Q4" i="111"/>
  <c r="P5" i="110"/>
  <c r="P6" i="110"/>
  <c r="P4" i="110"/>
  <c r="P7" i="110"/>
  <c r="N33" i="110"/>
  <c r="Q9" i="110"/>
  <c r="P33" i="114"/>
  <c r="Q33" i="114"/>
  <c r="Q7" i="114"/>
  <c r="Q23" i="114"/>
  <c r="Q8" i="114"/>
  <c r="Q16" i="114"/>
  <c r="Q24" i="114"/>
  <c r="Q32" i="114"/>
  <c r="Q19" i="114"/>
  <c r="Q5" i="114"/>
  <c r="Q13" i="114"/>
  <c r="Q21" i="114"/>
  <c r="Q29" i="114"/>
  <c r="Q10" i="114"/>
  <c r="Q18" i="114"/>
  <c r="Q26" i="114"/>
  <c r="Q15" i="114"/>
  <c r="Q27" i="114"/>
  <c r="Q12" i="114"/>
  <c r="Q20" i="114"/>
  <c r="Q28" i="114"/>
  <c r="Q11" i="114"/>
  <c r="Q31" i="114"/>
  <c r="Q9" i="114"/>
  <c r="Q17" i="114"/>
  <c r="Q25" i="114"/>
  <c r="Q6" i="114"/>
  <c r="Q14" i="114"/>
  <c r="Q22" i="114"/>
  <c r="Q30" i="114"/>
  <c r="R14" i="111"/>
  <c r="Q14" i="111"/>
  <c r="R8" i="111"/>
  <c r="R6" i="111"/>
  <c r="R7" i="111"/>
  <c r="R13" i="111"/>
  <c r="R12" i="111"/>
  <c r="R10" i="111"/>
  <c r="R11" i="111"/>
  <c r="R9" i="111"/>
  <c r="R5" i="111"/>
  <c r="O4" i="99"/>
  <c r="M40" i="108"/>
  <c r="L40" i="108"/>
  <c r="K40" i="108"/>
  <c r="J40" i="108"/>
  <c r="I40" i="108"/>
  <c r="H40" i="108"/>
  <c r="G40" i="108"/>
  <c r="F40" i="108"/>
  <c r="E40" i="108"/>
  <c r="D40" i="108"/>
  <c r="C40" i="108"/>
  <c r="B40" i="108"/>
  <c r="N32" i="108"/>
  <c r="P32" i="108"/>
  <c r="N28" i="108"/>
  <c r="P28" i="108"/>
  <c r="N24" i="108"/>
  <c r="P24" i="108"/>
  <c r="N13" i="108"/>
  <c r="P13" i="108"/>
  <c r="N10" i="108"/>
  <c r="P10" i="108"/>
  <c r="N9" i="108"/>
  <c r="P9" i="108"/>
  <c r="N6" i="108"/>
  <c r="P6" i="108"/>
  <c r="N14" i="97"/>
  <c r="N16" i="97"/>
  <c r="N17" i="105"/>
  <c r="M14" i="97"/>
  <c r="M16" i="97"/>
  <c r="M17" i="105"/>
  <c r="L14" i="97"/>
  <c r="L16" i="97"/>
  <c r="L17" i="105"/>
  <c r="K14" i="97"/>
  <c r="K16" i="97"/>
  <c r="K17" i="105"/>
  <c r="J14" i="97"/>
  <c r="J16" i="97"/>
  <c r="J17" i="105"/>
  <c r="I14" i="97"/>
  <c r="I16" i="97"/>
  <c r="I17" i="105"/>
  <c r="H14" i="97"/>
  <c r="H16" i="97"/>
  <c r="H17" i="105"/>
  <c r="G14" i="97"/>
  <c r="G16" i="97"/>
  <c r="G17" i="105"/>
  <c r="F14" i="97"/>
  <c r="F16" i="97"/>
  <c r="F17" i="105"/>
  <c r="E14" i="97"/>
  <c r="E16" i="97"/>
  <c r="E17" i="105"/>
  <c r="D14" i="97"/>
  <c r="D16" i="97"/>
  <c r="D17" i="105"/>
  <c r="C14" i="97"/>
  <c r="C16" i="97"/>
  <c r="C17" i="105"/>
  <c r="M21" i="101"/>
  <c r="M23" i="109"/>
  <c r="L21" i="101"/>
  <c r="L23" i="109"/>
  <c r="K21" i="101"/>
  <c r="K23" i="109"/>
  <c r="J21" i="101"/>
  <c r="J23" i="109"/>
  <c r="I21" i="101"/>
  <c r="I23" i="109"/>
  <c r="H21" i="101"/>
  <c r="H23" i="109"/>
  <c r="G21" i="101"/>
  <c r="G23" i="109"/>
  <c r="F21" i="101"/>
  <c r="F23" i="109"/>
  <c r="E21" i="101"/>
  <c r="E23" i="109"/>
  <c r="D21" i="101"/>
  <c r="D23" i="109"/>
  <c r="C21" i="101"/>
  <c r="C23" i="109"/>
  <c r="B21" i="101"/>
  <c r="B23" i="109"/>
  <c r="N21" i="109"/>
  <c r="N20" i="109"/>
  <c r="N19" i="109"/>
  <c r="O22" i="109"/>
  <c r="N18" i="109"/>
  <c r="P18" i="109"/>
  <c r="N17" i="109"/>
  <c r="N16" i="109"/>
  <c r="P16" i="109"/>
  <c r="N15" i="109"/>
  <c r="P15" i="109"/>
  <c r="N14" i="109"/>
  <c r="P14" i="109"/>
  <c r="N13" i="109"/>
  <c r="P13" i="109"/>
  <c r="N12" i="109"/>
  <c r="P12" i="109"/>
  <c r="N11" i="109"/>
  <c r="P11" i="109"/>
  <c r="N10" i="109"/>
  <c r="P10" i="109"/>
  <c r="N9" i="109"/>
  <c r="P9" i="109"/>
  <c r="N8" i="109"/>
  <c r="P8" i="109"/>
  <c r="N7" i="109"/>
  <c r="P7" i="109"/>
  <c r="N6" i="109"/>
  <c r="P6" i="109"/>
  <c r="N5" i="109"/>
  <c r="P5" i="109"/>
  <c r="N39" i="108"/>
  <c r="P39" i="108"/>
  <c r="N30" i="108"/>
  <c r="P30" i="108"/>
  <c r="N27" i="108"/>
  <c r="P27" i="108"/>
  <c r="N25" i="108"/>
  <c r="P25" i="108"/>
  <c r="N18" i="108"/>
  <c r="P18" i="108"/>
  <c r="N12" i="108"/>
  <c r="P12" i="108"/>
  <c r="N11" i="108"/>
  <c r="N8" i="108"/>
  <c r="P8" i="108"/>
  <c r="N5" i="108"/>
  <c r="P5" i="108"/>
  <c r="O33" i="108"/>
  <c r="M33" i="100"/>
  <c r="M34" i="108"/>
  <c r="J33" i="100"/>
  <c r="J34" i="108"/>
  <c r="I33" i="100"/>
  <c r="I34" i="108"/>
  <c r="H33" i="100"/>
  <c r="H34" i="108"/>
  <c r="G33" i="100"/>
  <c r="G34" i="108"/>
  <c r="F33" i="100"/>
  <c r="F34" i="108"/>
  <c r="E33" i="100"/>
  <c r="E34" i="108"/>
  <c r="D33" i="100"/>
  <c r="D34" i="108"/>
  <c r="C33" i="100"/>
  <c r="C34" i="108"/>
  <c r="B33" i="100"/>
  <c r="B34" i="108"/>
  <c r="M104" i="107"/>
  <c r="L104" i="107"/>
  <c r="K104" i="107"/>
  <c r="J104" i="107"/>
  <c r="I104" i="107"/>
  <c r="H104" i="107"/>
  <c r="G104" i="107"/>
  <c r="F104" i="107"/>
  <c r="E104" i="107"/>
  <c r="D104" i="107"/>
  <c r="C104" i="107"/>
  <c r="B104" i="107"/>
  <c r="N102" i="107"/>
  <c r="P102" i="107"/>
  <c r="N101" i="107"/>
  <c r="P101" i="107"/>
  <c r="N100" i="107"/>
  <c r="N99" i="107"/>
  <c r="P99" i="107"/>
  <c r="N98" i="107"/>
  <c r="P98" i="107"/>
  <c r="N97" i="107"/>
  <c r="P97" i="107"/>
  <c r="N96" i="107"/>
  <c r="P95" i="107"/>
  <c r="N93" i="107"/>
  <c r="P93" i="107"/>
  <c r="N92" i="107"/>
  <c r="P92" i="107"/>
  <c r="N91" i="107"/>
  <c r="N90" i="107"/>
  <c r="N89" i="107"/>
  <c r="P89" i="107"/>
  <c r="N88" i="107"/>
  <c r="P88" i="107"/>
  <c r="N87" i="107"/>
  <c r="N86" i="107"/>
  <c r="P86" i="107"/>
  <c r="N85" i="107"/>
  <c r="P85" i="107"/>
  <c r="N84" i="107"/>
  <c r="N83" i="107"/>
  <c r="N82" i="107"/>
  <c r="P82" i="107"/>
  <c r="N81" i="107"/>
  <c r="P81" i="107"/>
  <c r="N80" i="107"/>
  <c r="P80" i="107"/>
  <c r="N79" i="107"/>
  <c r="N78" i="107"/>
  <c r="P78" i="107"/>
  <c r="N77" i="107"/>
  <c r="P77" i="107"/>
  <c r="N76" i="107"/>
  <c r="P76" i="107"/>
  <c r="N75" i="107"/>
  <c r="N74" i="107"/>
  <c r="P74" i="107"/>
  <c r="N73" i="107"/>
  <c r="P73" i="107"/>
  <c r="N72" i="107"/>
  <c r="P72" i="107"/>
  <c r="N71" i="107"/>
  <c r="N70" i="107"/>
  <c r="P70" i="107"/>
  <c r="N69" i="107"/>
  <c r="P69" i="107"/>
  <c r="N68" i="107"/>
  <c r="P68" i="107"/>
  <c r="N67" i="107"/>
  <c r="N66" i="107"/>
  <c r="P66" i="107"/>
  <c r="N65" i="107"/>
  <c r="P65" i="107"/>
  <c r="N64" i="107"/>
  <c r="P64" i="107"/>
  <c r="N63" i="107"/>
  <c r="N62" i="107"/>
  <c r="P62" i="107"/>
  <c r="N61" i="107"/>
  <c r="P61" i="107"/>
  <c r="N60" i="107"/>
  <c r="P60" i="107"/>
  <c r="N59" i="107"/>
  <c r="N58" i="107"/>
  <c r="N57" i="107"/>
  <c r="P57" i="107"/>
  <c r="N56" i="107"/>
  <c r="P56" i="107"/>
  <c r="N55" i="107"/>
  <c r="N54" i="107"/>
  <c r="P54" i="107"/>
  <c r="N53" i="107"/>
  <c r="P53" i="107"/>
  <c r="N52" i="107"/>
  <c r="N51" i="107"/>
  <c r="N50" i="107"/>
  <c r="P50" i="107"/>
  <c r="N49" i="107"/>
  <c r="P49" i="107"/>
  <c r="N48" i="107"/>
  <c r="P48" i="107"/>
  <c r="N47" i="107"/>
  <c r="P47" i="107"/>
  <c r="N46" i="107"/>
  <c r="N45" i="107"/>
  <c r="P45" i="107"/>
  <c r="N44" i="107"/>
  <c r="P44" i="107"/>
  <c r="N43" i="107"/>
  <c r="P43" i="107"/>
  <c r="N42" i="107"/>
  <c r="N41" i="107"/>
  <c r="N40" i="107"/>
  <c r="P40" i="107"/>
  <c r="N39" i="107"/>
  <c r="P39" i="107"/>
  <c r="N38" i="107"/>
  <c r="P38" i="107"/>
  <c r="N37" i="107"/>
  <c r="P37" i="107"/>
  <c r="N36" i="107"/>
  <c r="N35" i="107"/>
  <c r="P35" i="107"/>
  <c r="N34" i="107"/>
  <c r="P34" i="107"/>
  <c r="N33" i="107"/>
  <c r="P33" i="107"/>
  <c r="N32" i="107"/>
  <c r="P32" i="107"/>
  <c r="N31" i="107"/>
  <c r="P31" i="107"/>
  <c r="N30" i="107"/>
  <c r="P30" i="107"/>
  <c r="N29" i="107"/>
  <c r="P29" i="107"/>
  <c r="N28" i="107"/>
  <c r="P28" i="107"/>
  <c r="N27" i="107"/>
  <c r="P27" i="107"/>
  <c r="N26" i="107"/>
  <c r="P26" i="107"/>
  <c r="N25" i="107"/>
  <c r="P25" i="107"/>
  <c r="N24" i="107"/>
  <c r="P24" i="107"/>
  <c r="N23" i="107"/>
  <c r="P23" i="107"/>
  <c r="N22" i="107"/>
  <c r="P22" i="107"/>
  <c r="N21" i="107"/>
  <c r="P21" i="107"/>
  <c r="N20" i="107"/>
  <c r="P20" i="107"/>
  <c r="N19" i="107"/>
  <c r="P19" i="107"/>
  <c r="N18" i="107"/>
  <c r="P18" i="107"/>
  <c r="N17" i="107"/>
  <c r="P17" i="107"/>
  <c r="N16" i="107"/>
  <c r="N15" i="107"/>
  <c r="P15" i="107"/>
  <c r="N14" i="107"/>
  <c r="P14" i="107"/>
  <c r="N13" i="107"/>
  <c r="P13" i="107"/>
  <c r="N12" i="107"/>
  <c r="P12" i="107"/>
  <c r="N11" i="107"/>
  <c r="N10" i="107"/>
  <c r="P10" i="107"/>
  <c r="N9" i="107"/>
  <c r="P9" i="107"/>
  <c r="N8" i="107"/>
  <c r="P8" i="107"/>
  <c r="N7" i="107"/>
  <c r="N6" i="107"/>
  <c r="P6" i="107"/>
  <c r="N5" i="107"/>
  <c r="P5" i="107"/>
  <c r="N4" i="107"/>
  <c r="P4" i="107"/>
  <c r="M32" i="98"/>
  <c r="M33" i="106"/>
  <c r="L32" i="98"/>
  <c r="L33" i="106"/>
  <c r="K32" i="98"/>
  <c r="K33" i="106"/>
  <c r="J32" i="98"/>
  <c r="J33" i="106"/>
  <c r="I32" i="98"/>
  <c r="I33" i="106"/>
  <c r="H32" i="98"/>
  <c r="H33" i="106"/>
  <c r="G32" i="98"/>
  <c r="G33" i="106"/>
  <c r="F32" i="98"/>
  <c r="F33" i="106"/>
  <c r="E32" i="98"/>
  <c r="E33" i="106"/>
  <c r="D32" i="98"/>
  <c r="D33" i="106"/>
  <c r="C32" i="98"/>
  <c r="C33" i="106"/>
  <c r="B32" i="98"/>
  <c r="B33" i="106"/>
  <c r="N31" i="106"/>
  <c r="P31" i="106"/>
  <c r="N30" i="106"/>
  <c r="P30" i="106"/>
  <c r="N29" i="106"/>
  <c r="P29" i="106"/>
  <c r="N28" i="106"/>
  <c r="P28" i="106"/>
  <c r="N27" i="106"/>
  <c r="P27" i="106"/>
  <c r="N26" i="106"/>
  <c r="P26" i="106"/>
  <c r="N25" i="106"/>
  <c r="P25" i="106"/>
  <c r="N24" i="106"/>
  <c r="P24" i="106"/>
  <c r="N23" i="106"/>
  <c r="P23" i="106"/>
  <c r="N22" i="106"/>
  <c r="P22" i="106"/>
  <c r="N21" i="106"/>
  <c r="P21" i="106"/>
  <c r="N20" i="106"/>
  <c r="P20" i="106"/>
  <c r="N19" i="106"/>
  <c r="P19" i="106"/>
  <c r="N18" i="106"/>
  <c r="P18" i="106"/>
  <c r="N17" i="106"/>
  <c r="N16" i="106"/>
  <c r="P16" i="106"/>
  <c r="N15" i="106"/>
  <c r="P15" i="106"/>
  <c r="N14" i="106"/>
  <c r="P14" i="106"/>
  <c r="N13" i="106"/>
  <c r="P13" i="106"/>
  <c r="N12" i="106"/>
  <c r="P12" i="106"/>
  <c r="N11" i="106"/>
  <c r="P11" i="106"/>
  <c r="N10" i="106"/>
  <c r="P10" i="106"/>
  <c r="N9" i="106"/>
  <c r="P9" i="106"/>
  <c r="N8" i="106"/>
  <c r="P8" i="106"/>
  <c r="N7" i="106"/>
  <c r="P7" i="106"/>
  <c r="N6" i="106"/>
  <c r="P6" i="106"/>
  <c r="N5" i="106"/>
  <c r="P5" i="106"/>
  <c r="O32" i="106"/>
  <c r="N4" i="106"/>
  <c r="N55" i="105"/>
  <c r="M55" i="105"/>
  <c r="L55" i="105"/>
  <c r="K55" i="105"/>
  <c r="J55" i="105"/>
  <c r="I55" i="105"/>
  <c r="H55" i="105"/>
  <c r="G55" i="105"/>
  <c r="F55" i="105"/>
  <c r="E55" i="105"/>
  <c r="D55" i="105"/>
  <c r="C55" i="105"/>
  <c r="N43" i="105"/>
  <c r="M43" i="105"/>
  <c r="L43" i="105"/>
  <c r="K43" i="105"/>
  <c r="J43" i="105"/>
  <c r="I43" i="105"/>
  <c r="H43" i="105"/>
  <c r="G43" i="105"/>
  <c r="F43" i="105"/>
  <c r="E43" i="105"/>
  <c r="D43" i="105"/>
  <c r="C43" i="105"/>
  <c r="O8" i="105"/>
  <c r="Q8" i="105"/>
  <c r="O5" i="105"/>
  <c r="P14" i="105"/>
  <c r="O33" i="104"/>
  <c r="J18" i="105"/>
  <c r="F18" i="105"/>
  <c r="D18" i="105"/>
  <c r="C33" i="96"/>
  <c r="C34" i="104"/>
  <c r="H18" i="105"/>
  <c r="G33" i="96"/>
  <c r="G34" i="104"/>
  <c r="E18" i="105"/>
  <c r="D33" i="96"/>
  <c r="D34" i="104"/>
  <c r="I18" i="105"/>
  <c r="H33" i="96"/>
  <c r="H34" i="104"/>
  <c r="I33" i="96"/>
  <c r="I34" i="104"/>
  <c r="C18" i="105"/>
  <c r="G18" i="105"/>
  <c r="F33" i="96"/>
  <c r="F34" i="104"/>
  <c r="K18" i="105"/>
  <c r="J33" i="96"/>
  <c r="J34" i="104"/>
  <c r="E33" i="96"/>
  <c r="E34" i="104"/>
  <c r="P19" i="109"/>
  <c r="P20" i="109"/>
  <c r="P11" i="108"/>
  <c r="N4" i="108"/>
  <c r="P4" i="108"/>
  <c r="P42" i="107"/>
  <c r="P51" i="107"/>
  <c r="P55" i="107"/>
  <c r="P59" i="107"/>
  <c r="P63" i="107"/>
  <c r="P67" i="107"/>
  <c r="P71" i="107"/>
  <c r="P75" i="107"/>
  <c r="P79" i="107"/>
  <c r="P83" i="107"/>
  <c r="P87" i="107"/>
  <c r="P91" i="107"/>
  <c r="P96" i="107"/>
  <c r="P100" i="107"/>
  <c r="P52" i="107"/>
  <c r="P84" i="107"/>
  <c r="P4" i="106"/>
  <c r="O39" i="100"/>
  <c r="O20" i="101"/>
  <c r="O19" i="101"/>
  <c r="O18" i="101"/>
  <c r="O17" i="101"/>
  <c r="O16" i="101"/>
  <c r="O15" i="101"/>
  <c r="O14" i="101"/>
  <c r="O13" i="101"/>
  <c r="O12" i="101"/>
  <c r="O11" i="101"/>
  <c r="O10" i="101"/>
  <c r="O9" i="101"/>
  <c r="O8" i="101"/>
  <c r="O7" i="101"/>
  <c r="O6" i="101"/>
  <c r="O5" i="101"/>
  <c r="O4" i="101"/>
  <c r="O32" i="100"/>
  <c r="O31" i="100"/>
  <c r="O30" i="100"/>
  <c r="O29" i="100"/>
  <c r="O28" i="100"/>
  <c r="O27" i="100"/>
  <c r="O26" i="100"/>
  <c r="O25" i="100"/>
  <c r="O24" i="100"/>
  <c r="O23" i="100"/>
  <c r="O22" i="100"/>
  <c r="O21" i="100"/>
  <c r="O20" i="100"/>
  <c r="O19" i="100"/>
  <c r="O18" i="100"/>
  <c r="O17" i="100"/>
  <c r="O16" i="100"/>
  <c r="O15" i="100"/>
  <c r="O14" i="100"/>
  <c r="O13" i="100"/>
  <c r="O12" i="100"/>
  <c r="O11" i="100"/>
  <c r="O10" i="100"/>
  <c r="O9" i="100"/>
  <c r="O8" i="100"/>
  <c r="O7" i="100"/>
  <c r="O6" i="100"/>
  <c r="O5" i="100"/>
  <c r="O4" i="100"/>
  <c r="O13" i="99"/>
  <c r="O12" i="99"/>
  <c r="O11" i="99"/>
  <c r="O10" i="99"/>
  <c r="O9" i="99"/>
  <c r="O8" i="99"/>
  <c r="O7" i="99"/>
  <c r="O6" i="99"/>
  <c r="O17" i="99"/>
  <c r="O16" i="99"/>
  <c r="O101" i="99"/>
  <c r="O100" i="99"/>
  <c r="O99" i="99"/>
  <c r="O98" i="99"/>
  <c r="O97" i="99"/>
  <c r="O96" i="99"/>
  <c r="O95" i="99"/>
  <c r="O94" i="99"/>
  <c r="O93" i="99"/>
  <c r="O92" i="99"/>
  <c r="O91" i="99"/>
  <c r="O90" i="99"/>
  <c r="O89" i="99"/>
  <c r="O88" i="99"/>
  <c r="O87" i="99"/>
  <c r="O86" i="99"/>
  <c r="O85" i="99"/>
  <c r="O84" i="99"/>
  <c r="O83" i="99"/>
  <c r="O82" i="99"/>
  <c r="O81" i="99"/>
  <c r="O80" i="99"/>
  <c r="O79" i="99"/>
  <c r="O78" i="99"/>
  <c r="O77" i="99"/>
  <c r="O76" i="99"/>
  <c r="O75" i="99"/>
  <c r="O74" i="99"/>
  <c r="O73" i="99"/>
  <c r="O72" i="99"/>
  <c r="O71" i="99"/>
  <c r="O70" i="99"/>
  <c r="O69" i="99"/>
  <c r="O68" i="99"/>
  <c r="O67" i="99"/>
  <c r="O66" i="99"/>
  <c r="O65" i="99"/>
  <c r="O64" i="99"/>
  <c r="O63" i="99"/>
  <c r="O62" i="99"/>
  <c r="O61" i="99"/>
  <c r="O60" i="99"/>
  <c r="O59" i="99"/>
  <c r="O58" i="99"/>
  <c r="O57" i="99"/>
  <c r="O56" i="99"/>
  <c r="O55" i="99"/>
  <c r="O54" i="99"/>
  <c r="O53" i="99"/>
  <c r="O52" i="99"/>
  <c r="O51" i="99"/>
  <c r="O50" i="99"/>
  <c r="O49" i="99"/>
  <c r="O48" i="99"/>
  <c r="O47" i="99"/>
  <c r="O46" i="99"/>
  <c r="O45" i="99"/>
  <c r="O44" i="99"/>
  <c r="O43" i="99"/>
  <c r="O42" i="99"/>
  <c r="O41" i="99"/>
  <c r="O40" i="99"/>
  <c r="O39" i="99"/>
  <c r="O38" i="99"/>
  <c r="O37" i="99"/>
  <c r="O36" i="99"/>
  <c r="O35" i="99"/>
  <c r="O34" i="99"/>
  <c r="O33" i="99"/>
  <c r="O32" i="99"/>
  <c r="O31" i="99"/>
  <c r="O30" i="99"/>
  <c r="O29" i="99"/>
  <c r="O28" i="99"/>
  <c r="O27" i="99"/>
  <c r="O26" i="99"/>
  <c r="O25" i="99"/>
  <c r="O24" i="99"/>
  <c r="O23" i="99"/>
  <c r="O22" i="99"/>
  <c r="O21" i="99"/>
  <c r="O20" i="99"/>
  <c r="O19" i="99"/>
  <c r="O18" i="99"/>
  <c r="O15" i="99"/>
  <c r="O5" i="99"/>
  <c r="O31" i="98"/>
  <c r="O30" i="98"/>
  <c r="O29" i="98"/>
  <c r="O28" i="98"/>
  <c r="O27" i="98"/>
  <c r="O26" i="98"/>
  <c r="O25" i="98"/>
  <c r="O24" i="98"/>
  <c r="O23" i="98"/>
  <c r="O22" i="98"/>
  <c r="O21" i="98"/>
  <c r="O20" i="98"/>
  <c r="O19" i="98"/>
  <c r="O18" i="98"/>
  <c r="O17" i="98"/>
  <c r="O16" i="98"/>
  <c r="O15" i="98"/>
  <c r="O14" i="98"/>
  <c r="O13" i="98"/>
  <c r="O12" i="98"/>
  <c r="O11" i="98"/>
  <c r="O10" i="98"/>
  <c r="O9" i="98"/>
  <c r="O8" i="98"/>
  <c r="O7" i="98"/>
  <c r="O6" i="98"/>
  <c r="O5" i="98"/>
  <c r="O4" i="98"/>
  <c r="B33" i="96"/>
  <c r="B34" i="104"/>
  <c r="O21" i="101"/>
  <c r="M43" i="97"/>
  <c r="N14" i="99"/>
  <c r="P14" i="99"/>
  <c r="M21" i="71"/>
  <c r="M22" i="101"/>
  <c r="G21" i="71"/>
  <c r="H21" i="71"/>
  <c r="I21" i="71"/>
  <c r="J21" i="71"/>
  <c r="K21" i="71"/>
  <c r="L21" i="71"/>
  <c r="N82" i="99"/>
  <c r="N15" i="99"/>
  <c r="B5" i="54"/>
  <c r="C5" i="54"/>
  <c r="D5" i="54"/>
  <c r="E5" i="54"/>
  <c r="F5" i="54"/>
  <c r="G5" i="54"/>
  <c r="H5" i="54"/>
  <c r="I5" i="54"/>
  <c r="J5" i="54"/>
  <c r="B6" i="54"/>
  <c r="C6" i="54"/>
  <c r="D6" i="54"/>
  <c r="E6" i="54"/>
  <c r="F6" i="54"/>
  <c r="G6" i="54"/>
  <c r="H6" i="54"/>
  <c r="I6" i="54"/>
  <c r="J6" i="54"/>
  <c r="B7" i="54"/>
  <c r="C7" i="54"/>
  <c r="D7" i="54"/>
  <c r="E7" i="54"/>
  <c r="F7" i="54"/>
  <c r="G7" i="54"/>
  <c r="H7" i="54"/>
  <c r="I7" i="54"/>
  <c r="J7" i="54"/>
  <c r="B8" i="54"/>
  <c r="C8" i="54"/>
  <c r="D8" i="54"/>
  <c r="E8" i="54"/>
  <c r="F8" i="54"/>
  <c r="G8" i="54"/>
  <c r="H8" i="54"/>
  <c r="I8" i="54"/>
  <c r="J8" i="54"/>
  <c r="B9" i="54"/>
  <c r="D4" i="84"/>
  <c r="C9" i="54"/>
  <c r="E4" i="84"/>
  <c r="D9" i="54"/>
  <c r="F4" i="84"/>
  <c r="E9" i="54"/>
  <c r="G4" i="84"/>
  <c r="F9" i="54"/>
  <c r="H4" i="84"/>
  <c r="G9" i="54"/>
  <c r="I4" i="84"/>
  <c r="H9" i="54"/>
  <c r="J4" i="84"/>
  <c r="I9" i="54"/>
  <c r="K4" i="84"/>
  <c r="J9" i="54"/>
  <c r="B10" i="54"/>
  <c r="C10" i="54"/>
  <c r="D10" i="54"/>
  <c r="E10" i="54"/>
  <c r="F10" i="54"/>
  <c r="G10" i="54"/>
  <c r="H10" i="54"/>
  <c r="J5" i="84"/>
  <c r="I10" i="54"/>
  <c r="K5" i="84"/>
  <c r="J10" i="54"/>
  <c r="L5" i="84"/>
  <c r="K10" i="54"/>
  <c r="M5" i="84"/>
  <c r="L10" i="54"/>
  <c r="N5" i="84"/>
  <c r="M10" i="54"/>
  <c r="N10" i="54"/>
  <c r="B11" i="54"/>
  <c r="C11" i="54"/>
  <c r="D11" i="54"/>
  <c r="E11" i="54"/>
  <c r="F11" i="54"/>
  <c r="G11" i="54"/>
  <c r="H11" i="54"/>
  <c r="I11" i="54"/>
  <c r="J11" i="54"/>
  <c r="B12" i="54"/>
  <c r="C12" i="54"/>
  <c r="D12" i="54"/>
  <c r="E12" i="54"/>
  <c r="F12" i="54"/>
  <c r="G12" i="54"/>
  <c r="H12" i="54"/>
  <c r="I12" i="54"/>
  <c r="J12" i="54"/>
  <c r="B13" i="54"/>
  <c r="C13" i="54"/>
  <c r="D13" i="54"/>
  <c r="E13" i="54"/>
  <c r="F13" i="54"/>
  <c r="G13" i="54"/>
  <c r="H13" i="54"/>
  <c r="J6" i="84"/>
  <c r="I13" i="54"/>
  <c r="K6" i="84"/>
  <c r="J13" i="54"/>
  <c r="B14" i="54"/>
  <c r="C14" i="54"/>
  <c r="D14" i="54"/>
  <c r="E14" i="54"/>
  <c r="F14" i="54"/>
  <c r="G14" i="54"/>
  <c r="H14" i="54"/>
  <c r="I14" i="54"/>
  <c r="J14" i="54"/>
  <c r="K14" i="54"/>
  <c r="L14" i="54"/>
  <c r="M14" i="54"/>
  <c r="N14" i="54"/>
  <c r="B15" i="54"/>
  <c r="C15" i="54"/>
  <c r="D15" i="54"/>
  <c r="E15" i="54"/>
  <c r="F15" i="54"/>
  <c r="G15" i="54"/>
  <c r="H15" i="54"/>
  <c r="I15" i="54"/>
  <c r="J15" i="54"/>
  <c r="K15" i="54"/>
  <c r="L15" i="54"/>
  <c r="M15" i="54"/>
  <c r="N15" i="54"/>
  <c r="B16" i="54"/>
  <c r="C16" i="54"/>
  <c r="D16" i="54"/>
  <c r="E16" i="54"/>
  <c r="F16" i="54"/>
  <c r="G16" i="54"/>
  <c r="H16" i="54"/>
  <c r="I16" i="54"/>
  <c r="J16" i="54"/>
  <c r="B17" i="54"/>
  <c r="C17" i="54"/>
  <c r="D17" i="54"/>
  <c r="E17" i="54"/>
  <c r="F17" i="54"/>
  <c r="G17" i="54"/>
  <c r="H17" i="54"/>
  <c r="I17" i="54"/>
  <c r="J17" i="54"/>
  <c r="B18" i="54"/>
  <c r="D7" i="84"/>
  <c r="C18" i="54"/>
  <c r="D18" i="54"/>
  <c r="E18" i="54"/>
  <c r="F18" i="54"/>
  <c r="G18" i="54"/>
  <c r="H18" i="54"/>
  <c r="J7" i="84"/>
  <c r="I18" i="54"/>
  <c r="K7" i="84"/>
  <c r="J18" i="54"/>
  <c r="B19" i="54"/>
  <c r="C19" i="54"/>
  <c r="D19" i="54"/>
  <c r="E19" i="54"/>
  <c r="F19" i="54"/>
  <c r="G19" i="54"/>
  <c r="H19" i="54"/>
  <c r="I19" i="54"/>
  <c r="J19" i="54"/>
  <c r="K19" i="54"/>
  <c r="L19" i="54"/>
  <c r="M19" i="54"/>
  <c r="N19" i="54"/>
  <c r="B20" i="54"/>
  <c r="C20" i="54"/>
  <c r="D20" i="54"/>
  <c r="E20" i="54"/>
  <c r="F20" i="54"/>
  <c r="G20" i="54"/>
  <c r="H20" i="54"/>
  <c r="I20" i="54"/>
  <c r="J20" i="54"/>
  <c r="K20" i="54"/>
  <c r="L20" i="54"/>
  <c r="M20" i="54"/>
  <c r="N20" i="54"/>
  <c r="B21" i="54"/>
  <c r="D8" i="84"/>
  <c r="E8" i="84"/>
  <c r="D21" i="54"/>
  <c r="F8" i="84"/>
  <c r="E21" i="54"/>
  <c r="G8" i="84"/>
  <c r="F21" i="54"/>
  <c r="H8" i="84"/>
  <c r="I8" i="84"/>
  <c r="H21" i="54"/>
  <c r="J8" i="84"/>
  <c r="I21" i="54"/>
  <c r="K8" i="84"/>
  <c r="J21" i="54"/>
  <c r="B22" i="54"/>
  <c r="C22" i="54"/>
  <c r="D22" i="54"/>
  <c r="E22" i="54"/>
  <c r="F22" i="54"/>
  <c r="G22" i="54"/>
  <c r="H22" i="54"/>
  <c r="I22" i="54"/>
  <c r="J22" i="54"/>
  <c r="B23" i="54"/>
  <c r="C23" i="54"/>
  <c r="D23" i="54"/>
  <c r="E23" i="54"/>
  <c r="F23" i="54"/>
  <c r="G23" i="54"/>
  <c r="H23" i="54"/>
  <c r="I23" i="54"/>
  <c r="J23" i="54"/>
  <c r="K23" i="54"/>
  <c r="L23" i="54"/>
  <c r="M23" i="54"/>
  <c r="N23" i="54"/>
  <c r="B24" i="54"/>
  <c r="D9" i="84"/>
  <c r="C24" i="54"/>
  <c r="E9" i="84"/>
  <c r="D24" i="54"/>
  <c r="F9" i="84"/>
  <c r="E24" i="54"/>
  <c r="G9" i="84"/>
  <c r="F24" i="54"/>
  <c r="G24" i="54"/>
  <c r="I9" i="84"/>
  <c r="H24" i="54"/>
  <c r="J9" i="84"/>
  <c r="I24" i="54"/>
  <c r="K9" i="84"/>
  <c r="B25" i="54"/>
  <c r="C25" i="54"/>
  <c r="D25" i="54"/>
  <c r="E25" i="54"/>
  <c r="F25" i="54"/>
  <c r="G25" i="54"/>
  <c r="H25" i="54"/>
  <c r="I25" i="54"/>
  <c r="J25" i="54"/>
  <c r="K25" i="54"/>
  <c r="L25" i="54"/>
  <c r="M25" i="54"/>
  <c r="N25" i="54"/>
  <c r="B26" i="54"/>
  <c r="C26" i="54"/>
  <c r="D26" i="54"/>
  <c r="E26" i="54"/>
  <c r="F26" i="54"/>
  <c r="G26" i="54"/>
  <c r="H26" i="54"/>
  <c r="I26" i="54"/>
  <c r="J26" i="54"/>
  <c r="K26" i="54"/>
  <c r="L26" i="54"/>
  <c r="M26" i="54"/>
  <c r="N26" i="54"/>
  <c r="B27" i="54"/>
  <c r="D10" i="84"/>
  <c r="C27" i="54"/>
  <c r="E10" i="84"/>
  <c r="D27" i="54"/>
  <c r="F10" i="84"/>
  <c r="E27" i="54"/>
  <c r="F27" i="54"/>
  <c r="G27" i="54"/>
  <c r="H27" i="54"/>
  <c r="I27" i="54"/>
  <c r="K10" i="84"/>
  <c r="J27" i="54"/>
  <c r="B28" i="54"/>
  <c r="D11" i="84"/>
  <c r="C28" i="54"/>
  <c r="E11" i="84"/>
  <c r="D28" i="54"/>
  <c r="F11" i="84"/>
  <c r="E28" i="54"/>
  <c r="G11" i="84"/>
  <c r="H11" i="84"/>
  <c r="G28" i="54"/>
  <c r="I11" i="84"/>
  <c r="H28" i="54"/>
  <c r="J11" i="84"/>
  <c r="I28" i="54"/>
  <c r="K11" i="84"/>
  <c r="J28" i="54"/>
  <c r="B29" i="54"/>
  <c r="C29" i="54"/>
  <c r="D29" i="54"/>
  <c r="E29" i="54"/>
  <c r="F29" i="54"/>
  <c r="G29" i="54"/>
  <c r="H29" i="54"/>
  <c r="I29" i="54"/>
  <c r="J29" i="54"/>
  <c r="B30" i="54"/>
  <c r="D12" i="84"/>
  <c r="C30" i="54"/>
  <c r="E12" i="84"/>
  <c r="D30" i="54"/>
  <c r="F12" i="84"/>
  <c r="G12" i="84"/>
  <c r="F30" i="54"/>
  <c r="H12" i="84"/>
  <c r="G30" i="54"/>
  <c r="I12" i="84"/>
  <c r="H30" i="54"/>
  <c r="J12" i="84"/>
  <c r="K12" i="84"/>
  <c r="J30" i="54"/>
  <c r="B31" i="54"/>
  <c r="C31" i="54"/>
  <c r="D31" i="54"/>
  <c r="E31" i="54"/>
  <c r="F31" i="54"/>
  <c r="G31" i="54"/>
  <c r="H31" i="54"/>
  <c r="I31" i="54"/>
  <c r="J31" i="54"/>
  <c r="K31" i="54"/>
  <c r="L31" i="54"/>
  <c r="M31" i="54"/>
  <c r="N31" i="54"/>
  <c r="B32" i="54"/>
  <c r="D13" i="84"/>
  <c r="C32" i="54"/>
  <c r="E13" i="84"/>
  <c r="F13" i="84"/>
  <c r="E32" i="54"/>
  <c r="G13" i="84"/>
  <c r="F32" i="54"/>
  <c r="H13" i="84"/>
  <c r="G32" i="54"/>
  <c r="I13" i="84"/>
  <c r="J13" i="84"/>
  <c r="I32" i="54"/>
  <c r="K13" i="84"/>
  <c r="J32" i="54"/>
  <c r="B4" i="54"/>
  <c r="C4" i="54"/>
  <c r="D4" i="54"/>
  <c r="E4" i="54"/>
  <c r="F4" i="54"/>
  <c r="G4" i="54"/>
  <c r="H4" i="54"/>
  <c r="I4" i="54"/>
  <c r="J4" i="54"/>
  <c r="B101" i="58"/>
  <c r="C101" i="58"/>
  <c r="C99" i="59"/>
  <c r="C102" i="58"/>
  <c r="D101" i="58"/>
  <c r="E101" i="58"/>
  <c r="F101" i="58"/>
  <c r="G101" i="58"/>
  <c r="H101" i="58"/>
  <c r="I101" i="58"/>
  <c r="J101" i="58"/>
  <c r="J103" i="99"/>
  <c r="J10" i="84"/>
  <c r="O13" i="97"/>
  <c r="O33" i="100"/>
  <c r="N5" i="99"/>
  <c r="N7" i="99"/>
  <c r="N8" i="99"/>
  <c r="N9" i="99"/>
  <c r="N11" i="99"/>
  <c r="N12" i="99"/>
  <c r="N18" i="99"/>
  <c r="N19" i="99"/>
  <c r="N20" i="99"/>
  <c r="N21" i="99"/>
  <c r="N22" i="99"/>
  <c r="N23" i="99"/>
  <c r="N24" i="99"/>
  <c r="N26" i="99"/>
  <c r="N28" i="99"/>
  <c r="N30" i="99"/>
  <c r="N32" i="99"/>
  <c r="N34" i="99"/>
  <c r="N35" i="99"/>
  <c r="N37" i="99"/>
  <c r="N39" i="99"/>
  <c r="N40" i="99"/>
  <c r="N42" i="99"/>
  <c r="N43" i="99"/>
  <c r="N48" i="99"/>
  <c r="N49" i="99"/>
  <c r="N50" i="99"/>
  <c r="N51" i="99"/>
  <c r="N52" i="99"/>
  <c r="N53" i="99"/>
  <c r="N54" i="99"/>
  <c r="N55" i="99"/>
  <c r="N56" i="99"/>
  <c r="N57" i="99"/>
  <c r="N58" i="99"/>
  <c r="N60" i="99"/>
  <c r="N61" i="99"/>
  <c r="N64" i="99"/>
  <c r="N65" i="99"/>
  <c r="N68" i="99"/>
  <c r="N70" i="99"/>
  <c r="N71" i="99"/>
  <c r="N72" i="99"/>
  <c r="N74" i="99"/>
  <c r="N75" i="99"/>
  <c r="N76" i="99"/>
  <c r="N77" i="99"/>
  <c r="N78" i="99"/>
  <c r="N79" i="99"/>
  <c r="N81" i="99"/>
  <c r="N84" i="99"/>
  <c r="N85" i="99"/>
  <c r="N86" i="99"/>
  <c r="N87" i="99"/>
  <c r="N88" i="99"/>
  <c r="N89" i="99"/>
  <c r="N90" i="99"/>
  <c r="N91" i="99"/>
  <c r="N92" i="99"/>
  <c r="N94" i="99"/>
  <c r="N96" i="99"/>
  <c r="N97" i="99"/>
  <c r="N98" i="99"/>
  <c r="N17" i="98"/>
  <c r="N17" i="55"/>
  <c r="N4" i="99"/>
  <c r="N6" i="99"/>
  <c r="N10" i="99"/>
  <c r="N13" i="99"/>
  <c r="N16" i="99"/>
  <c r="N17" i="99"/>
  <c r="N25" i="99"/>
  <c r="N27" i="99"/>
  <c r="N29" i="99"/>
  <c r="N31" i="99"/>
  <c r="N33" i="99"/>
  <c r="F103" i="99"/>
  <c r="G103" i="99"/>
  <c r="H103" i="99"/>
  <c r="D103" i="99"/>
  <c r="K4" i="54"/>
  <c r="K5" i="54"/>
  <c r="K6" i="54"/>
  <c r="K7" i="54"/>
  <c r="K8" i="54"/>
  <c r="L4" i="84"/>
  <c r="K9" i="54"/>
  <c r="K11" i="54"/>
  <c r="K12" i="54"/>
  <c r="L6" i="84"/>
  <c r="K13" i="54"/>
  <c r="K16" i="54"/>
  <c r="K17" i="54"/>
  <c r="L7" i="84"/>
  <c r="K18" i="54"/>
  <c r="L8" i="84"/>
  <c r="K21" i="54"/>
  <c r="K22" i="54"/>
  <c r="L9" i="84"/>
  <c r="K24" i="54"/>
  <c r="L10" i="84"/>
  <c r="K27" i="54"/>
  <c r="L11" i="84"/>
  <c r="K28" i="54"/>
  <c r="K29" i="54"/>
  <c r="L12" i="84"/>
  <c r="L13" i="84"/>
  <c r="K32" i="54"/>
  <c r="L4" i="54"/>
  <c r="L5" i="54"/>
  <c r="L6" i="54"/>
  <c r="L7" i="54"/>
  <c r="L8" i="54"/>
  <c r="M4" i="84"/>
  <c r="L9" i="54"/>
  <c r="L11" i="54"/>
  <c r="L12" i="54"/>
  <c r="M6" i="84"/>
  <c r="L13" i="54"/>
  <c r="L16" i="54"/>
  <c r="L17" i="54"/>
  <c r="M7" i="84"/>
  <c r="L18" i="54"/>
  <c r="M8" i="84"/>
  <c r="L21" i="54"/>
  <c r="L22" i="54"/>
  <c r="M9" i="84"/>
  <c r="L24" i="54"/>
  <c r="M10" i="84"/>
  <c r="L27" i="54"/>
  <c r="M11" i="84"/>
  <c r="L28" i="54"/>
  <c r="L29" i="54"/>
  <c r="M12" i="84"/>
  <c r="L30" i="54"/>
  <c r="M13" i="84"/>
  <c r="L32" i="54"/>
  <c r="M4" i="54"/>
  <c r="M5" i="54"/>
  <c r="M6" i="54"/>
  <c r="M7" i="54"/>
  <c r="M8" i="54"/>
  <c r="N4" i="84"/>
  <c r="M9" i="54"/>
  <c r="M11" i="54"/>
  <c r="M12" i="54"/>
  <c r="N6" i="84"/>
  <c r="M13" i="54"/>
  <c r="M16" i="54"/>
  <c r="M17" i="54"/>
  <c r="N7" i="84"/>
  <c r="M18" i="54"/>
  <c r="N8" i="84"/>
  <c r="M21" i="54"/>
  <c r="M22" i="54"/>
  <c r="N9" i="84"/>
  <c r="M24" i="54"/>
  <c r="N10" i="84"/>
  <c r="M27" i="54"/>
  <c r="N11" i="84"/>
  <c r="M28" i="54"/>
  <c r="M29" i="54"/>
  <c r="N12" i="84"/>
  <c r="N13" i="84"/>
  <c r="M32" i="54"/>
  <c r="N5" i="54"/>
  <c r="N13" i="54"/>
  <c r="N29" i="54"/>
  <c r="H32" i="55"/>
  <c r="H33" i="98"/>
  <c r="I32" i="55"/>
  <c r="I33" i="98"/>
  <c r="J32" i="55"/>
  <c r="J33" i="98"/>
  <c r="K32" i="55"/>
  <c r="K33" i="98"/>
  <c r="L32" i="55"/>
  <c r="M32" i="55"/>
  <c r="B32" i="55"/>
  <c r="B33" i="98"/>
  <c r="B103" i="99"/>
  <c r="C40" i="100"/>
  <c r="D40" i="100"/>
  <c r="E40" i="100"/>
  <c r="F40" i="100"/>
  <c r="G40" i="100"/>
  <c r="H40" i="100"/>
  <c r="I40" i="100"/>
  <c r="J40" i="100"/>
  <c r="K40" i="100"/>
  <c r="L40" i="100"/>
  <c r="M40" i="100"/>
  <c r="B40" i="100"/>
  <c r="M33" i="56"/>
  <c r="L33" i="56"/>
  <c r="B33" i="56"/>
  <c r="F33" i="56"/>
  <c r="E33" i="56"/>
  <c r="D33" i="56"/>
  <c r="G33" i="56"/>
  <c r="I33" i="56"/>
  <c r="H33" i="56"/>
  <c r="K33" i="56"/>
  <c r="J33" i="56"/>
  <c r="C33" i="56"/>
  <c r="N20" i="101"/>
  <c r="N19" i="101"/>
  <c r="N18" i="101"/>
  <c r="N17" i="101"/>
  <c r="N16" i="101"/>
  <c r="N15" i="101"/>
  <c r="N14" i="101"/>
  <c r="N13" i="101"/>
  <c r="N12" i="101"/>
  <c r="N11" i="101"/>
  <c r="N10" i="101"/>
  <c r="N9" i="101"/>
  <c r="N8" i="101"/>
  <c r="N7" i="101"/>
  <c r="N6" i="101"/>
  <c r="N5" i="101"/>
  <c r="N4" i="101"/>
  <c r="N5" i="58"/>
  <c r="N7" i="58"/>
  <c r="N8" i="58"/>
  <c r="N9" i="58"/>
  <c r="N11" i="58"/>
  <c r="N12" i="58"/>
  <c r="N14" i="58"/>
  <c r="N17" i="58"/>
  <c r="N18" i="58"/>
  <c r="N19" i="58"/>
  <c r="N20" i="58"/>
  <c r="N21" i="58"/>
  <c r="N22" i="58"/>
  <c r="N23" i="58"/>
  <c r="N25" i="58"/>
  <c r="N27" i="58"/>
  <c r="N29" i="58"/>
  <c r="N31" i="58"/>
  <c r="N33" i="58"/>
  <c r="N34" i="58"/>
  <c r="N36" i="58"/>
  <c r="N38" i="58"/>
  <c r="N39" i="58"/>
  <c r="N41" i="58"/>
  <c r="N42" i="58"/>
  <c r="N47" i="58"/>
  <c r="N48" i="58"/>
  <c r="N49" i="58"/>
  <c r="N50" i="58"/>
  <c r="N51" i="58"/>
  <c r="N52" i="58"/>
  <c r="N53" i="58"/>
  <c r="N54" i="58"/>
  <c r="N55" i="58"/>
  <c r="N56" i="58"/>
  <c r="N57" i="58"/>
  <c r="N59" i="58"/>
  <c r="N60" i="58"/>
  <c r="N63" i="58"/>
  <c r="N64" i="58"/>
  <c r="N67" i="58"/>
  <c r="N69" i="58"/>
  <c r="N70" i="58"/>
  <c r="N71" i="58"/>
  <c r="N73" i="58"/>
  <c r="N74" i="58"/>
  <c r="N75" i="58"/>
  <c r="N76" i="58"/>
  <c r="N77" i="58"/>
  <c r="N78" i="58"/>
  <c r="N80" i="58"/>
  <c r="N81" i="58"/>
  <c r="N83" i="58"/>
  <c r="N84" i="58"/>
  <c r="N85" i="58"/>
  <c r="N86" i="58"/>
  <c r="N87" i="58"/>
  <c r="N88" i="58"/>
  <c r="N89" i="58"/>
  <c r="N90" i="58"/>
  <c r="N91" i="58"/>
  <c r="N95" i="58"/>
  <c r="O95" i="58"/>
  <c r="P95" i="58"/>
  <c r="N96" i="58"/>
  <c r="N97" i="58"/>
  <c r="N98" i="58"/>
  <c r="N99" i="58"/>
  <c r="N100" i="58"/>
  <c r="N93" i="58"/>
  <c r="O5" i="58"/>
  <c r="O7" i="58"/>
  <c r="O8" i="58"/>
  <c r="O9" i="58"/>
  <c r="O11" i="58"/>
  <c r="O12" i="58"/>
  <c r="O14" i="58"/>
  <c r="O17" i="58"/>
  <c r="O18" i="58"/>
  <c r="O19" i="58"/>
  <c r="O20" i="58"/>
  <c r="O21" i="58"/>
  <c r="O22" i="58"/>
  <c r="O23" i="58"/>
  <c r="O25" i="58"/>
  <c r="O27" i="58"/>
  <c r="O29" i="58"/>
  <c r="O31" i="58"/>
  <c r="O33" i="58"/>
  <c r="O34" i="58"/>
  <c r="O36" i="58"/>
  <c r="O38" i="58"/>
  <c r="O39" i="58"/>
  <c r="O41" i="58"/>
  <c r="O42" i="58"/>
  <c r="O47" i="58"/>
  <c r="O48" i="58"/>
  <c r="O49" i="58"/>
  <c r="O50" i="58"/>
  <c r="O51" i="58"/>
  <c r="O52" i="58"/>
  <c r="O53" i="58"/>
  <c r="O54" i="58"/>
  <c r="P54" i="58"/>
  <c r="O55" i="58"/>
  <c r="O56" i="58"/>
  <c r="O57" i="58"/>
  <c r="O59" i="58"/>
  <c r="O60" i="58"/>
  <c r="O63" i="58"/>
  <c r="O64" i="58"/>
  <c r="O67" i="58"/>
  <c r="O69" i="58"/>
  <c r="O70" i="58"/>
  <c r="O71" i="58"/>
  <c r="O73" i="58"/>
  <c r="O74" i="58"/>
  <c r="O75" i="58"/>
  <c r="O76" i="58"/>
  <c r="O77" i="58"/>
  <c r="O78" i="58"/>
  <c r="O80" i="58"/>
  <c r="O81" i="58"/>
  <c r="O83" i="58"/>
  <c r="O84" i="58"/>
  <c r="O85" i="58"/>
  <c r="O86" i="58"/>
  <c r="O87" i="58"/>
  <c r="O88" i="58"/>
  <c r="O89" i="58"/>
  <c r="O90" i="58"/>
  <c r="O91" i="58"/>
  <c r="O93" i="58"/>
  <c r="O96" i="58"/>
  <c r="O97" i="58"/>
  <c r="O98" i="58"/>
  <c r="O99" i="58"/>
  <c r="O100" i="58"/>
  <c r="N4" i="56"/>
  <c r="N5" i="56"/>
  <c r="N6" i="56"/>
  <c r="N7" i="56"/>
  <c r="N8" i="56"/>
  <c r="N9" i="56"/>
  <c r="N10" i="56"/>
  <c r="N11" i="56"/>
  <c r="N12" i="56"/>
  <c r="N13" i="56"/>
  <c r="N14" i="56"/>
  <c r="N15" i="56"/>
  <c r="N16" i="56"/>
  <c r="N17" i="56"/>
  <c r="N18" i="56"/>
  <c r="N19" i="56"/>
  <c r="N20" i="56"/>
  <c r="N21" i="56"/>
  <c r="N22" i="56"/>
  <c r="N23" i="56"/>
  <c r="N24" i="56"/>
  <c r="N25" i="56"/>
  <c r="N26" i="56"/>
  <c r="N27" i="56"/>
  <c r="N28" i="56"/>
  <c r="N29" i="56"/>
  <c r="N30" i="56"/>
  <c r="N31" i="56"/>
  <c r="N32" i="56"/>
  <c r="O4" i="56"/>
  <c r="O5" i="56"/>
  <c r="O6" i="56"/>
  <c r="O7" i="56"/>
  <c r="O8" i="56"/>
  <c r="O9" i="56"/>
  <c r="O10" i="56"/>
  <c r="O11" i="56"/>
  <c r="O12" i="56"/>
  <c r="O13" i="56"/>
  <c r="O14" i="56"/>
  <c r="O15" i="56"/>
  <c r="O16" i="56"/>
  <c r="O17" i="56"/>
  <c r="O18" i="56"/>
  <c r="O19" i="56"/>
  <c r="O20" i="56"/>
  <c r="O21" i="56"/>
  <c r="O22" i="56"/>
  <c r="O23" i="56"/>
  <c r="O24" i="56"/>
  <c r="O25" i="56"/>
  <c r="O26" i="56"/>
  <c r="O27" i="56"/>
  <c r="O28" i="56"/>
  <c r="O29" i="56"/>
  <c r="O30" i="56"/>
  <c r="O31" i="56"/>
  <c r="O32" i="56"/>
  <c r="N39" i="100"/>
  <c r="P39" i="100"/>
  <c r="N95" i="99"/>
  <c r="N93" i="99"/>
  <c r="N83" i="99"/>
  <c r="N80" i="99"/>
  <c r="N73" i="99"/>
  <c r="N69" i="99"/>
  <c r="N67" i="99"/>
  <c r="N66" i="99"/>
  <c r="N63" i="99"/>
  <c r="N62" i="99"/>
  <c r="P61" i="99"/>
  <c r="P60" i="99"/>
  <c r="N59" i="99"/>
  <c r="P52" i="99"/>
  <c r="P49" i="99"/>
  <c r="N47" i="99"/>
  <c r="N46" i="99"/>
  <c r="N45" i="99"/>
  <c r="N44" i="99"/>
  <c r="N41" i="99"/>
  <c r="N38" i="99"/>
  <c r="N36" i="99"/>
  <c r="P35" i="99"/>
  <c r="E14" i="84"/>
  <c r="E16" i="84"/>
  <c r="M14" i="84"/>
  <c r="M16" i="84"/>
  <c r="C14" i="84"/>
  <c r="C16" i="84"/>
  <c r="C17" i="97"/>
  <c r="G32" i="55"/>
  <c r="G33" i="98"/>
  <c r="F32" i="55"/>
  <c r="F33" i="98"/>
  <c r="E32" i="55"/>
  <c r="E31" i="51"/>
  <c r="E33" i="55"/>
  <c r="D32" i="55"/>
  <c r="D33" i="98"/>
  <c r="C32" i="55"/>
  <c r="C33" i="98"/>
  <c r="N31" i="98"/>
  <c r="N30" i="98"/>
  <c r="N29" i="98"/>
  <c r="N28" i="98"/>
  <c r="N27" i="98"/>
  <c r="N26" i="98"/>
  <c r="N25" i="98"/>
  <c r="N24" i="98"/>
  <c r="N23" i="98"/>
  <c r="P23" i="98"/>
  <c r="N22" i="98"/>
  <c r="N21" i="98"/>
  <c r="N20" i="98"/>
  <c r="N19" i="98"/>
  <c r="N18" i="98"/>
  <c r="N16" i="98"/>
  <c r="N15" i="98"/>
  <c r="N14" i="98"/>
  <c r="N13" i="98"/>
  <c r="N12" i="98"/>
  <c r="N11" i="98"/>
  <c r="N10" i="98"/>
  <c r="N9" i="98"/>
  <c r="N8" i="98"/>
  <c r="N7" i="98"/>
  <c r="N6" i="98"/>
  <c r="N5" i="98"/>
  <c r="O32" i="98"/>
  <c r="N4" i="98"/>
  <c r="K43" i="97"/>
  <c r="M55" i="97"/>
  <c r="N55" i="97"/>
  <c r="L55" i="97"/>
  <c r="K55" i="97"/>
  <c r="J55" i="97"/>
  <c r="I55" i="97"/>
  <c r="H55" i="97"/>
  <c r="G55" i="97"/>
  <c r="F55" i="97"/>
  <c r="E55" i="97"/>
  <c r="D55" i="97"/>
  <c r="C55" i="97"/>
  <c r="N43" i="97"/>
  <c r="L43" i="97"/>
  <c r="J43" i="97"/>
  <c r="I43" i="97"/>
  <c r="H43" i="97"/>
  <c r="G43" i="97"/>
  <c r="F43" i="97"/>
  <c r="E43" i="97"/>
  <c r="D43" i="97"/>
  <c r="C43" i="97"/>
  <c r="O11" i="97"/>
  <c r="O10" i="97"/>
  <c r="P39" i="99"/>
  <c r="P96" i="99"/>
  <c r="P7" i="99"/>
  <c r="B5" i="50"/>
  <c r="C5" i="50"/>
  <c r="D5" i="50"/>
  <c r="E5" i="50"/>
  <c r="F5" i="50"/>
  <c r="G5" i="50"/>
  <c r="H5" i="50"/>
  <c r="I5" i="50"/>
  <c r="J5" i="50"/>
  <c r="K5" i="50"/>
  <c r="L5" i="50"/>
  <c r="M5" i="50"/>
  <c r="B6" i="50"/>
  <c r="C6" i="50"/>
  <c r="D6" i="50"/>
  <c r="E6" i="50"/>
  <c r="F6" i="50"/>
  <c r="G6" i="50"/>
  <c r="H6" i="50"/>
  <c r="I6" i="50"/>
  <c r="J6" i="50"/>
  <c r="K6" i="50"/>
  <c r="L6" i="50"/>
  <c r="M6" i="50"/>
  <c r="B7" i="50"/>
  <c r="C7" i="50"/>
  <c r="D7" i="50"/>
  <c r="E7" i="50"/>
  <c r="F7" i="50"/>
  <c r="G7" i="50"/>
  <c r="H7" i="50"/>
  <c r="I7" i="50"/>
  <c r="J7" i="50"/>
  <c r="K7" i="50"/>
  <c r="L7" i="50"/>
  <c r="M7" i="50"/>
  <c r="B8" i="50"/>
  <c r="C8" i="50"/>
  <c r="D8" i="50"/>
  <c r="E8" i="50"/>
  <c r="F8" i="50"/>
  <c r="G8" i="50"/>
  <c r="H8" i="50"/>
  <c r="I8" i="50"/>
  <c r="J8" i="50"/>
  <c r="K8" i="50"/>
  <c r="L8" i="50"/>
  <c r="M8" i="50"/>
  <c r="B9" i="50"/>
  <c r="C9" i="50"/>
  <c r="D9" i="50"/>
  <c r="E9" i="50"/>
  <c r="F9" i="50"/>
  <c r="G9" i="50"/>
  <c r="H9" i="50"/>
  <c r="I9" i="50"/>
  <c r="J9" i="50"/>
  <c r="K9" i="50"/>
  <c r="L9" i="50"/>
  <c r="M9" i="50"/>
  <c r="B10" i="50"/>
  <c r="C10" i="50"/>
  <c r="D10" i="50"/>
  <c r="E10" i="50"/>
  <c r="F10" i="50"/>
  <c r="G10" i="50"/>
  <c r="H10" i="50"/>
  <c r="I10" i="50"/>
  <c r="J10" i="50"/>
  <c r="K10" i="50"/>
  <c r="L10" i="50"/>
  <c r="M10" i="50"/>
  <c r="O10" i="54"/>
  <c r="B11" i="50"/>
  <c r="C11" i="50"/>
  <c r="D11" i="50"/>
  <c r="E11" i="50"/>
  <c r="F11" i="50"/>
  <c r="G11" i="50"/>
  <c r="H11" i="50"/>
  <c r="I11" i="50"/>
  <c r="J11" i="50"/>
  <c r="K11" i="50"/>
  <c r="L11" i="50"/>
  <c r="M11" i="50"/>
  <c r="B12" i="50"/>
  <c r="C12" i="50"/>
  <c r="D12" i="50"/>
  <c r="E12" i="50"/>
  <c r="F12" i="50"/>
  <c r="G12" i="50"/>
  <c r="H12" i="50"/>
  <c r="I12" i="50"/>
  <c r="J12" i="50"/>
  <c r="K12" i="50"/>
  <c r="L12" i="50"/>
  <c r="M12" i="50"/>
  <c r="B13" i="50"/>
  <c r="C13" i="50"/>
  <c r="D13" i="50"/>
  <c r="E13" i="50"/>
  <c r="F13" i="50"/>
  <c r="G13" i="50"/>
  <c r="H13" i="50"/>
  <c r="I13" i="50"/>
  <c r="J13" i="50"/>
  <c r="K13" i="50"/>
  <c r="L13" i="50"/>
  <c r="M13" i="50"/>
  <c r="O13" i="54"/>
  <c r="B14" i="50"/>
  <c r="C14" i="50"/>
  <c r="D14" i="50"/>
  <c r="E14" i="50"/>
  <c r="F14" i="50"/>
  <c r="G14" i="50"/>
  <c r="H14" i="50"/>
  <c r="I14" i="50"/>
  <c r="J14" i="50"/>
  <c r="K14" i="50"/>
  <c r="L14" i="50"/>
  <c r="M14" i="50"/>
  <c r="B15" i="50"/>
  <c r="C15" i="50"/>
  <c r="D15" i="50"/>
  <c r="E15" i="50"/>
  <c r="F15" i="50"/>
  <c r="G15" i="50"/>
  <c r="H15" i="50"/>
  <c r="I15" i="50"/>
  <c r="J15" i="50"/>
  <c r="K15" i="50"/>
  <c r="L15" i="50"/>
  <c r="M15" i="50"/>
  <c r="B16" i="50"/>
  <c r="C16" i="50"/>
  <c r="D16" i="50"/>
  <c r="E16" i="50"/>
  <c r="F16" i="50"/>
  <c r="G16" i="50"/>
  <c r="H16" i="50"/>
  <c r="I16" i="50"/>
  <c r="J16" i="50"/>
  <c r="K16" i="50"/>
  <c r="L16" i="50"/>
  <c r="M16" i="50"/>
  <c r="O16" i="54"/>
  <c r="B17" i="50"/>
  <c r="C17" i="50"/>
  <c r="D17" i="50"/>
  <c r="E17" i="50"/>
  <c r="F17" i="50"/>
  <c r="G17" i="50"/>
  <c r="H17" i="50"/>
  <c r="I17" i="50"/>
  <c r="J17" i="50"/>
  <c r="K17" i="50"/>
  <c r="L17" i="50"/>
  <c r="M17" i="50"/>
  <c r="B18" i="50"/>
  <c r="C18" i="50"/>
  <c r="D18" i="50"/>
  <c r="E18" i="50"/>
  <c r="F18" i="50"/>
  <c r="G18" i="50"/>
  <c r="H18" i="50"/>
  <c r="I18" i="50"/>
  <c r="J18" i="50"/>
  <c r="K18" i="50"/>
  <c r="L18" i="50"/>
  <c r="M18" i="50"/>
  <c r="O18" i="54"/>
  <c r="B19" i="50"/>
  <c r="C19" i="50"/>
  <c r="D19" i="50"/>
  <c r="E19" i="50"/>
  <c r="F19" i="50"/>
  <c r="G19" i="50"/>
  <c r="H19" i="50"/>
  <c r="I19" i="50"/>
  <c r="J19" i="50"/>
  <c r="K19" i="50"/>
  <c r="L19" i="50"/>
  <c r="M19" i="50"/>
  <c r="O19" i="54"/>
  <c r="B20" i="50"/>
  <c r="C20" i="50"/>
  <c r="D20" i="50"/>
  <c r="E20" i="50"/>
  <c r="F20" i="50"/>
  <c r="G20" i="50"/>
  <c r="H20" i="50"/>
  <c r="I20" i="50"/>
  <c r="J20" i="50"/>
  <c r="K20" i="50"/>
  <c r="L20" i="50"/>
  <c r="M20" i="50"/>
  <c r="B21" i="50"/>
  <c r="C21" i="50"/>
  <c r="D21" i="50"/>
  <c r="E21" i="50"/>
  <c r="F21" i="50"/>
  <c r="G21" i="50"/>
  <c r="H21" i="50"/>
  <c r="I21" i="50"/>
  <c r="J21" i="50"/>
  <c r="K21" i="50"/>
  <c r="L21" i="50"/>
  <c r="M21" i="50"/>
  <c r="O21" i="54"/>
  <c r="B22" i="50"/>
  <c r="C22" i="50"/>
  <c r="D22" i="50"/>
  <c r="E22" i="50"/>
  <c r="F22" i="50"/>
  <c r="G22" i="50"/>
  <c r="H22" i="50"/>
  <c r="I22" i="50"/>
  <c r="J22" i="50"/>
  <c r="K22" i="50"/>
  <c r="L22" i="50"/>
  <c r="M22" i="50"/>
  <c r="B23" i="50"/>
  <c r="C23" i="50"/>
  <c r="D23" i="50"/>
  <c r="E23" i="50"/>
  <c r="F23" i="50"/>
  <c r="G23" i="50"/>
  <c r="H23" i="50"/>
  <c r="I23" i="50"/>
  <c r="J23" i="50"/>
  <c r="K23" i="50"/>
  <c r="L23" i="50"/>
  <c r="M23" i="50"/>
  <c r="B24" i="50"/>
  <c r="C24" i="50"/>
  <c r="D24" i="50"/>
  <c r="E24" i="50"/>
  <c r="F24" i="50"/>
  <c r="G24" i="50"/>
  <c r="H24" i="50"/>
  <c r="I24" i="50"/>
  <c r="J24" i="50"/>
  <c r="K24" i="50"/>
  <c r="L24" i="50"/>
  <c r="M24" i="50"/>
  <c r="O24" i="54"/>
  <c r="B25" i="50"/>
  <c r="C25" i="50"/>
  <c r="D25" i="50"/>
  <c r="E25" i="50"/>
  <c r="F25" i="50"/>
  <c r="G25" i="50"/>
  <c r="H25" i="50"/>
  <c r="I25" i="50"/>
  <c r="J25" i="50"/>
  <c r="K25" i="50"/>
  <c r="L25" i="50"/>
  <c r="M25" i="50"/>
  <c r="B26" i="50"/>
  <c r="C26" i="50"/>
  <c r="D26" i="50"/>
  <c r="E26" i="50"/>
  <c r="F26" i="50"/>
  <c r="G26" i="50"/>
  <c r="H26" i="50"/>
  <c r="I26" i="50"/>
  <c r="J26" i="50"/>
  <c r="K26" i="50"/>
  <c r="L26" i="50"/>
  <c r="M26" i="50"/>
  <c r="O26" i="54"/>
  <c r="B27" i="50"/>
  <c r="C27" i="50"/>
  <c r="D27" i="50"/>
  <c r="E27" i="50"/>
  <c r="F27" i="50"/>
  <c r="G27" i="50"/>
  <c r="H27" i="50"/>
  <c r="I27" i="50"/>
  <c r="J27" i="50"/>
  <c r="K27" i="50"/>
  <c r="L27" i="50"/>
  <c r="M27" i="50"/>
  <c r="O27" i="54"/>
  <c r="B28" i="50"/>
  <c r="C28" i="50"/>
  <c r="D28" i="50"/>
  <c r="E28" i="50"/>
  <c r="F28" i="50"/>
  <c r="G28" i="50"/>
  <c r="H28" i="50"/>
  <c r="I28" i="50"/>
  <c r="J28" i="50"/>
  <c r="K28" i="50"/>
  <c r="L28" i="50"/>
  <c r="M28" i="50"/>
  <c r="B29" i="50"/>
  <c r="C29" i="50"/>
  <c r="D29" i="50"/>
  <c r="E29" i="50"/>
  <c r="F29" i="50"/>
  <c r="G29" i="50"/>
  <c r="H29" i="50"/>
  <c r="I29" i="50"/>
  <c r="J29" i="50"/>
  <c r="K29" i="50"/>
  <c r="L29" i="50"/>
  <c r="M29" i="50"/>
  <c r="O29" i="54"/>
  <c r="B30" i="50"/>
  <c r="C30" i="50"/>
  <c r="D30" i="50"/>
  <c r="E30" i="50"/>
  <c r="F30" i="50"/>
  <c r="G30" i="50"/>
  <c r="H30" i="50"/>
  <c r="I30" i="50"/>
  <c r="J30" i="50"/>
  <c r="K30" i="50"/>
  <c r="L30" i="50"/>
  <c r="M30" i="50"/>
  <c r="B31" i="50"/>
  <c r="C31" i="50"/>
  <c r="D31" i="50"/>
  <c r="E31" i="50"/>
  <c r="F31" i="50"/>
  <c r="G31" i="50"/>
  <c r="H31" i="50"/>
  <c r="I31" i="50"/>
  <c r="J31" i="50"/>
  <c r="K31" i="50"/>
  <c r="L31" i="50"/>
  <c r="M31" i="50"/>
  <c r="B32" i="50"/>
  <c r="C32" i="50"/>
  <c r="D32" i="50"/>
  <c r="E32" i="50"/>
  <c r="F32" i="50"/>
  <c r="G32" i="50"/>
  <c r="H32" i="50"/>
  <c r="I32" i="50"/>
  <c r="J32" i="50"/>
  <c r="K32" i="50"/>
  <c r="L32" i="50"/>
  <c r="M32" i="50"/>
  <c r="O32" i="54"/>
  <c r="B4" i="50"/>
  <c r="C4" i="50"/>
  <c r="D4" i="50"/>
  <c r="E4" i="50"/>
  <c r="F4" i="50"/>
  <c r="G4" i="50"/>
  <c r="H4" i="50"/>
  <c r="I4" i="50"/>
  <c r="J4" i="50"/>
  <c r="K4" i="50"/>
  <c r="L4" i="50"/>
  <c r="M4" i="50"/>
  <c r="P5" i="84"/>
  <c r="P6" i="84"/>
  <c r="P7" i="84"/>
  <c r="P8" i="84"/>
  <c r="P9" i="84"/>
  <c r="P4" i="84"/>
  <c r="P10" i="84"/>
  <c r="P11" i="84"/>
  <c r="P12" i="84"/>
  <c r="P13" i="84"/>
  <c r="P14" i="84"/>
  <c r="M55" i="84"/>
  <c r="N55" i="84"/>
  <c r="O5" i="55"/>
  <c r="O6" i="55"/>
  <c r="O7" i="55"/>
  <c r="O8" i="55"/>
  <c r="O9" i="55"/>
  <c r="O10" i="55"/>
  <c r="O11" i="55"/>
  <c r="O12" i="55"/>
  <c r="O13" i="55"/>
  <c r="O14" i="55"/>
  <c r="O15" i="55"/>
  <c r="O16" i="55"/>
  <c r="O18" i="55"/>
  <c r="O19" i="55"/>
  <c r="O20" i="55"/>
  <c r="O21" i="55"/>
  <c r="O22" i="55"/>
  <c r="O23" i="55"/>
  <c r="O24" i="55"/>
  <c r="O25" i="55"/>
  <c r="O26" i="55"/>
  <c r="O27" i="55"/>
  <c r="O28" i="55"/>
  <c r="O29" i="55"/>
  <c r="O30" i="55"/>
  <c r="O31" i="55"/>
  <c r="O4" i="55"/>
  <c r="O39" i="56"/>
  <c r="O5" i="71"/>
  <c r="O6" i="71"/>
  <c r="O7" i="71"/>
  <c r="O8" i="71"/>
  <c r="O9" i="71"/>
  <c r="O10" i="71"/>
  <c r="O11" i="71"/>
  <c r="O12" i="71"/>
  <c r="O13" i="71"/>
  <c r="O14" i="71"/>
  <c r="O15" i="71"/>
  <c r="O16" i="71"/>
  <c r="O17" i="71"/>
  <c r="O18" i="71"/>
  <c r="O19" i="71"/>
  <c r="O20" i="71"/>
  <c r="O4" i="71"/>
  <c r="L23" i="72"/>
  <c r="L22" i="71"/>
  <c r="L55" i="84"/>
  <c r="F21" i="71"/>
  <c r="F22" i="101"/>
  <c r="B31" i="51"/>
  <c r="B33" i="55"/>
  <c r="C31" i="51"/>
  <c r="C33" i="55"/>
  <c r="D31" i="51"/>
  <c r="D33" i="55"/>
  <c r="F31" i="51"/>
  <c r="F33" i="55"/>
  <c r="G31" i="51"/>
  <c r="G33" i="55"/>
  <c r="H31" i="51"/>
  <c r="H33" i="55"/>
  <c r="I31" i="51"/>
  <c r="I33" i="55"/>
  <c r="J31" i="51"/>
  <c r="J33" i="55"/>
  <c r="K31" i="51"/>
  <c r="K33" i="55"/>
  <c r="L31" i="51"/>
  <c r="L33" i="55"/>
  <c r="M31" i="51"/>
  <c r="M33" i="55"/>
  <c r="B99" i="59"/>
  <c r="B102" i="58"/>
  <c r="D99" i="59"/>
  <c r="D102" i="58"/>
  <c r="E99" i="59"/>
  <c r="E102" i="58"/>
  <c r="F99" i="59"/>
  <c r="F102" i="58"/>
  <c r="G99" i="59"/>
  <c r="G102" i="58"/>
  <c r="H99" i="59"/>
  <c r="H102" i="58"/>
  <c r="I99" i="59"/>
  <c r="I102" i="58"/>
  <c r="B40" i="56"/>
  <c r="C40" i="56"/>
  <c r="D40" i="56"/>
  <c r="E40" i="56"/>
  <c r="F40" i="56"/>
  <c r="G40" i="56"/>
  <c r="H40" i="56"/>
  <c r="I40" i="56"/>
  <c r="J40" i="56"/>
  <c r="K40" i="56"/>
  <c r="L40" i="56"/>
  <c r="M40" i="56"/>
  <c r="N6" i="71"/>
  <c r="N7" i="71"/>
  <c r="N8" i="71"/>
  <c r="N9" i="71"/>
  <c r="N10" i="71"/>
  <c r="N11" i="71"/>
  <c r="N12" i="71"/>
  <c r="N13" i="71"/>
  <c r="N14" i="71"/>
  <c r="N15" i="71"/>
  <c r="N16" i="71"/>
  <c r="N17" i="71"/>
  <c r="N18" i="71"/>
  <c r="N19" i="71"/>
  <c r="N20" i="71"/>
  <c r="N5" i="71"/>
  <c r="N4" i="71"/>
  <c r="N21" i="72"/>
  <c r="P21" i="72"/>
  <c r="N17" i="72"/>
  <c r="P17" i="72"/>
  <c r="N7" i="72"/>
  <c r="P7" i="72"/>
  <c r="O16" i="72"/>
  <c r="N16" i="72"/>
  <c r="P16" i="72"/>
  <c r="N8" i="72"/>
  <c r="N9" i="72"/>
  <c r="N10" i="72"/>
  <c r="N11" i="72"/>
  <c r="N12" i="72"/>
  <c r="N13" i="72"/>
  <c r="N14" i="72"/>
  <c r="N15" i="72"/>
  <c r="N18" i="72"/>
  <c r="N19" i="72"/>
  <c r="N20" i="72"/>
  <c r="N22" i="72"/>
  <c r="O8" i="72"/>
  <c r="O9" i="72"/>
  <c r="O10" i="72"/>
  <c r="O11" i="72"/>
  <c r="O12" i="72"/>
  <c r="O13" i="72"/>
  <c r="O14" i="72"/>
  <c r="O15" i="72"/>
  <c r="O18" i="72"/>
  <c r="O19" i="72"/>
  <c r="O20" i="72"/>
  <c r="O22" i="72"/>
  <c r="J99" i="59"/>
  <c r="J102" i="58"/>
  <c r="K101" i="58"/>
  <c r="K99" i="59"/>
  <c r="K102" i="58"/>
  <c r="L101" i="58"/>
  <c r="L99" i="59"/>
  <c r="M101" i="58"/>
  <c r="M99" i="59"/>
  <c r="M102" i="58"/>
  <c r="D16" i="85"/>
  <c r="D17" i="84"/>
  <c r="E16" i="85"/>
  <c r="E17" i="84"/>
  <c r="F16" i="85"/>
  <c r="F17" i="84"/>
  <c r="G16" i="85"/>
  <c r="G17" i="84"/>
  <c r="H16" i="85"/>
  <c r="H17" i="84"/>
  <c r="I16" i="85"/>
  <c r="I17" i="84"/>
  <c r="J16" i="85"/>
  <c r="K16" i="85"/>
  <c r="K17" i="84"/>
  <c r="C55" i="84"/>
  <c r="D55" i="84"/>
  <c r="E55" i="84"/>
  <c r="F55" i="84"/>
  <c r="G55" i="84"/>
  <c r="H55" i="84"/>
  <c r="I55" i="84"/>
  <c r="C43" i="84"/>
  <c r="D43" i="84"/>
  <c r="E43" i="84"/>
  <c r="F43" i="84"/>
  <c r="G43" i="84"/>
  <c r="H43" i="84"/>
  <c r="I43" i="84"/>
  <c r="K43" i="84"/>
  <c r="L43" i="84"/>
  <c r="M43" i="84"/>
  <c r="N43" i="84"/>
  <c r="K55" i="84"/>
  <c r="J55" i="84"/>
  <c r="J43" i="84"/>
  <c r="N34" i="59"/>
  <c r="N33" i="59"/>
  <c r="P16" i="71"/>
  <c r="I23" i="72"/>
  <c r="I22" i="71"/>
  <c r="I22" i="101"/>
  <c r="B21" i="71"/>
  <c r="B22" i="101"/>
  <c r="C21" i="71"/>
  <c r="D21" i="71"/>
  <c r="E21" i="71"/>
  <c r="E23" i="72"/>
  <c r="E22" i="71"/>
  <c r="F23" i="72"/>
  <c r="F22" i="71"/>
  <c r="G23" i="72"/>
  <c r="G22" i="71"/>
  <c r="B23" i="72"/>
  <c r="H23" i="72"/>
  <c r="H22" i="71"/>
  <c r="H22" i="101"/>
  <c r="E22" i="101"/>
  <c r="D23" i="72"/>
  <c r="D22" i="71"/>
  <c r="D22" i="101"/>
  <c r="C23" i="72"/>
  <c r="C22" i="71"/>
  <c r="C22" i="101"/>
  <c r="B5" i="11"/>
  <c r="C5" i="11"/>
  <c r="D5" i="11"/>
  <c r="E5" i="11"/>
  <c r="F5" i="11"/>
  <c r="G5" i="11"/>
  <c r="H5" i="11"/>
  <c r="I5" i="11"/>
  <c r="J5" i="11"/>
  <c r="K5" i="11"/>
  <c r="L5" i="11"/>
  <c r="M5" i="11"/>
  <c r="N5" i="11"/>
  <c r="B6" i="11"/>
  <c r="C6" i="11"/>
  <c r="D6" i="11"/>
  <c r="E6" i="11"/>
  <c r="F6" i="11"/>
  <c r="G6" i="11"/>
  <c r="H6" i="11"/>
  <c r="I6" i="11"/>
  <c r="J6" i="11"/>
  <c r="K6" i="11"/>
  <c r="L6" i="11"/>
  <c r="M6" i="11"/>
  <c r="B7" i="11"/>
  <c r="C7" i="11"/>
  <c r="D7" i="11"/>
  <c r="E7" i="11"/>
  <c r="F7" i="11"/>
  <c r="G7" i="11"/>
  <c r="H7" i="11"/>
  <c r="I7" i="11"/>
  <c r="J7" i="11"/>
  <c r="K7" i="11"/>
  <c r="L7" i="11"/>
  <c r="M7" i="11"/>
  <c r="N7" i="11"/>
  <c r="B8" i="11"/>
  <c r="C8" i="11"/>
  <c r="D8" i="11"/>
  <c r="E8" i="11"/>
  <c r="F8" i="11"/>
  <c r="G8" i="11"/>
  <c r="H8" i="11"/>
  <c r="I8" i="11"/>
  <c r="J8" i="11"/>
  <c r="K8" i="11"/>
  <c r="L8" i="11"/>
  <c r="M8" i="11"/>
  <c r="N8" i="11"/>
  <c r="B9" i="11"/>
  <c r="C9" i="11"/>
  <c r="D9" i="11"/>
  <c r="E9" i="11"/>
  <c r="F9" i="11"/>
  <c r="G9" i="11"/>
  <c r="H9" i="11"/>
  <c r="I9" i="11"/>
  <c r="J9" i="11"/>
  <c r="K9" i="11"/>
  <c r="L9" i="11"/>
  <c r="M9" i="11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B11" i="11"/>
  <c r="C11" i="11"/>
  <c r="D11" i="11"/>
  <c r="E11" i="11"/>
  <c r="F11" i="11"/>
  <c r="G11" i="11"/>
  <c r="H11" i="11"/>
  <c r="I11" i="11"/>
  <c r="J11" i="11"/>
  <c r="K11" i="11"/>
  <c r="L11" i="11"/>
  <c r="M11" i="11"/>
  <c r="B12" i="11"/>
  <c r="C12" i="11"/>
  <c r="D12" i="11"/>
  <c r="E12" i="11"/>
  <c r="F12" i="11"/>
  <c r="G12" i="11"/>
  <c r="H12" i="11"/>
  <c r="I12" i="11"/>
  <c r="J12" i="11"/>
  <c r="K12" i="11"/>
  <c r="L12" i="11"/>
  <c r="M12" i="11"/>
  <c r="B13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B14" i="11"/>
  <c r="C14" i="11"/>
  <c r="D14" i="11"/>
  <c r="E14" i="11"/>
  <c r="F14" i="11"/>
  <c r="G14" i="11"/>
  <c r="H14" i="11"/>
  <c r="I14" i="11"/>
  <c r="J14" i="11"/>
  <c r="K14" i="11"/>
  <c r="L14" i="11"/>
  <c r="M14" i="11"/>
  <c r="B15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B16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B17" i="11"/>
  <c r="C17" i="11"/>
  <c r="D17" i="11"/>
  <c r="E17" i="11"/>
  <c r="F17" i="11"/>
  <c r="G17" i="11"/>
  <c r="H17" i="11"/>
  <c r="I17" i="11"/>
  <c r="J17" i="11"/>
  <c r="K17" i="11"/>
  <c r="L17" i="11"/>
  <c r="M17" i="11"/>
  <c r="B18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B19" i="11"/>
  <c r="C19" i="11"/>
  <c r="D19" i="11"/>
  <c r="E19" i="11"/>
  <c r="F19" i="11"/>
  <c r="G19" i="11"/>
  <c r="H19" i="11"/>
  <c r="I19" i="11"/>
  <c r="J19" i="11"/>
  <c r="K19" i="11"/>
  <c r="L19" i="11"/>
  <c r="M19" i="11"/>
  <c r="B20" i="11"/>
  <c r="C20" i="11"/>
  <c r="D20" i="11"/>
  <c r="E20" i="11"/>
  <c r="F20" i="11"/>
  <c r="G20" i="11"/>
  <c r="H20" i="11"/>
  <c r="I20" i="11"/>
  <c r="J20" i="11"/>
  <c r="K20" i="11"/>
  <c r="L20" i="11"/>
  <c r="M20" i="11"/>
  <c r="B21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B22" i="11"/>
  <c r="C22" i="11"/>
  <c r="D22" i="11"/>
  <c r="E22" i="11"/>
  <c r="F22" i="11"/>
  <c r="G22" i="11"/>
  <c r="H22" i="11"/>
  <c r="I22" i="11"/>
  <c r="J22" i="11"/>
  <c r="K22" i="11"/>
  <c r="L22" i="11"/>
  <c r="M22" i="11"/>
  <c r="B2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B24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B25" i="11"/>
  <c r="C25" i="11"/>
  <c r="D25" i="11"/>
  <c r="E25" i="11"/>
  <c r="F25" i="11"/>
  <c r="G25" i="11"/>
  <c r="H25" i="11"/>
  <c r="I25" i="11"/>
  <c r="J25" i="11"/>
  <c r="K25" i="11"/>
  <c r="L25" i="11"/>
  <c r="M25" i="11"/>
  <c r="B26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B27" i="11"/>
  <c r="C27" i="11"/>
  <c r="D27" i="11"/>
  <c r="E27" i="11"/>
  <c r="F27" i="11"/>
  <c r="G27" i="11"/>
  <c r="H27" i="11"/>
  <c r="I27" i="11"/>
  <c r="J27" i="11"/>
  <c r="K27" i="11"/>
  <c r="L27" i="11"/>
  <c r="M27" i="11"/>
  <c r="B28" i="11"/>
  <c r="C28" i="11"/>
  <c r="D28" i="11"/>
  <c r="E28" i="11"/>
  <c r="F28" i="11"/>
  <c r="G28" i="11"/>
  <c r="H28" i="11"/>
  <c r="I28" i="11"/>
  <c r="J28" i="11"/>
  <c r="K28" i="11"/>
  <c r="L28" i="11"/>
  <c r="M28" i="11"/>
  <c r="B29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B30" i="11"/>
  <c r="C30" i="11"/>
  <c r="D30" i="11"/>
  <c r="E30" i="11"/>
  <c r="F30" i="11"/>
  <c r="G30" i="11"/>
  <c r="H30" i="11"/>
  <c r="I30" i="11"/>
  <c r="J30" i="11"/>
  <c r="K30" i="11"/>
  <c r="L30" i="11"/>
  <c r="M30" i="11"/>
  <c r="B31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B32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B4" i="11"/>
  <c r="C4" i="11"/>
  <c r="D4" i="11"/>
  <c r="E4" i="11"/>
  <c r="F4" i="11"/>
  <c r="G4" i="11"/>
  <c r="H4" i="11"/>
  <c r="I4" i="11"/>
  <c r="J4" i="11"/>
  <c r="K4" i="11"/>
  <c r="L4" i="11"/>
  <c r="M4" i="11"/>
  <c r="B5" i="16"/>
  <c r="C5" i="16"/>
  <c r="D5" i="16"/>
  <c r="E5" i="16"/>
  <c r="F5" i="16"/>
  <c r="G5" i="16"/>
  <c r="H5" i="16"/>
  <c r="I5" i="16"/>
  <c r="J5" i="16"/>
  <c r="K5" i="16"/>
  <c r="L5" i="16"/>
  <c r="M5" i="16"/>
  <c r="N5" i="16"/>
  <c r="B6" i="16"/>
  <c r="C6" i="16"/>
  <c r="D6" i="16"/>
  <c r="E6" i="16"/>
  <c r="F6" i="16"/>
  <c r="G6" i="16"/>
  <c r="H6" i="16"/>
  <c r="I6" i="16"/>
  <c r="J6" i="16"/>
  <c r="K6" i="16"/>
  <c r="L6" i="16"/>
  <c r="M6" i="16"/>
  <c r="B7" i="16"/>
  <c r="C7" i="16"/>
  <c r="D7" i="16"/>
  <c r="E7" i="16"/>
  <c r="F7" i="16"/>
  <c r="G7" i="16"/>
  <c r="H7" i="16"/>
  <c r="I7" i="16"/>
  <c r="J7" i="16"/>
  <c r="K7" i="16"/>
  <c r="L7" i="16"/>
  <c r="M7" i="16"/>
  <c r="B8" i="16"/>
  <c r="C8" i="16"/>
  <c r="D8" i="16"/>
  <c r="E8" i="16"/>
  <c r="F8" i="16"/>
  <c r="G8" i="16"/>
  <c r="H8" i="16"/>
  <c r="I8" i="16"/>
  <c r="J8" i="16"/>
  <c r="K8" i="16"/>
  <c r="L8" i="16"/>
  <c r="M8" i="16"/>
  <c r="N8" i="16"/>
  <c r="B9" i="16"/>
  <c r="C9" i="16"/>
  <c r="D9" i="16"/>
  <c r="E9" i="16"/>
  <c r="F9" i="16"/>
  <c r="G9" i="16"/>
  <c r="H9" i="16"/>
  <c r="I9" i="16"/>
  <c r="J9" i="16"/>
  <c r="K9" i="16"/>
  <c r="L9" i="16"/>
  <c r="M9" i="16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B12" i="16"/>
  <c r="C12" i="16"/>
  <c r="D12" i="16"/>
  <c r="E12" i="16"/>
  <c r="F12" i="16"/>
  <c r="G12" i="16"/>
  <c r="H12" i="16"/>
  <c r="I12" i="16"/>
  <c r="J12" i="16"/>
  <c r="K12" i="16"/>
  <c r="L12" i="16"/>
  <c r="M12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B14" i="16"/>
  <c r="C14" i="16"/>
  <c r="D14" i="16"/>
  <c r="E14" i="16"/>
  <c r="F14" i="16"/>
  <c r="G14" i="16"/>
  <c r="H14" i="16"/>
  <c r="I14" i="16"/>
  <c r="J14" i="16"/>
  <c r="K14" i="16"/>
  <c r="L14" i="16"/>
  <c r="M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B16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B17" i="16"/>
  <c r="C17" i="16"/>
  <c r="D17" i="16"/>
  <c r="E17" i="16"/>
  <c r="F17" i="16"/>
  <c r="G17" i="16"/>
  <c r="H17" i="16"/>
  <c r="I17" i="16"/>
  <c r="J17" i="16"/>
  <c r="K17" i="16"/>
  <c r="L17" i="16"/>
  <c r="M17" i="16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B25" i="16"/>
  <c r="C25" i="16"/>
  <c r="D25" i="16"/>
  <c r="E25" i="16"/>
  <c r="F25" i="16"/>
  <c r="G25" i="16"/>
  <c r="H25" i="16"/>
  <c r="I25" i="16"/>
  <c r="J25" i="16"/>
  <c r="K25" i="16"/>
  <c r="L25" i="16"/>
  <c r="M25" i="16"/>
  <c r="B26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B27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B28" i="16"/>
  <c r="C28" i="16"/>
  <c r="D28" i="16"/>
  <c r="E28" i="16"/>
  <c r="F28" i="16"/>
  <c r="G28" i="16"/>
  <c r="H28" i="16"/>
  <c r="I28" i="16"/>
  <c r="J28" i="16"/>
  <c r="K28" i="16"/>
  <c r="L28" i="16"/>
  <c r="M28" i="16"/>
  <c r="B29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B31" i="16"/>
  <c r="C31" i="16"/>
  <c r="D31" i="16"/>
  <c r="E31" i="16"/>
  <c r="F31" i="16"/>
  <c r="G31" i="16"/>
  <c r="H31" i="16"/>
  <c r="I31" i="16"/>
  <c r="J31" i="16"/>
  <c r="K31" i="16"/>
  <c r="L31" i="16"/>
  <c r="M31" i="16"/>
  <c r="B32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B4" i="16"/>
  <c r="C4" i="16"/>
  <c r="D4" i="16"/>
  <c r="E4" i="16"/>
  <c r="F4" i="16"/>
  <c r="G4" i="16"/>
  <c r="H4" i="16"/>
  <c r="I4" i="16"/>
  <c r="J4" i="16"/>
  <c r="K4" i="16"/>
  <c r="L4" i="16"/>
  <c r="M4" i="16"/>
  <c r="C4" i="17"/>
  <c r="D4" i="17"/>
  <c r="E4" i="17"/>
  <c r="F4" i="17"/>
  <c r="G4" i="17"/>
  <c r="H4" i="17"/>
  <c r="I4" i="17"/>
  <c r="J4" i="17"/>
  <c r="K4" i="17"/>
  <c r="L4" i="17"/>
  <c r="M4" i="17"/>
  <c r="C5" i="17"/>
  <c r="D5" i="17"/>
  <c r="E5" i="17"/>
  <c r="F5" i="17"/>
  <c r="G5" i="17"/>
  <c r="H5" i="17"/>
  <c r="I5" i="17"/>
  <c r="J5" i="17"/>
  <c r="K5" i="17"/>
  <c r="L5" i="17"/>
  <c r="M5" i="17"/>
  <c r="C6" i="17"/>
  <c r="D6" i="17"/>
  <c r="E6" i="17"/>
  <c r="F6" i="17"/>
  <c r="G6" i="17"/>
  <c r="H6" i="17"/>
  <c r="I6" i="17"/>
  <c r="J6" i="17"/>
  <c r="K6" i="17"/>
  <c r="L6" i="17"/>
  <c r="M6" i="17"/>
  <c r="C7" i="17"/>
  <c r="D7" i="17"/>
  <c r="E7" i="17"/>
  <c r="F7" i="17"/>
  <c r="G7" i="17"/>
  <c r="H7" i="17"/>
  <c r="I7" i="17"/>
  <c r="J7" i="17"/>
  <c r="K7" i="17"/>
  <c r="L7" i="17"/>
  <c r="M7" i="17"/>
  <c r="C8" i="17"/>
  <c r="D8" i="17"/>
  <c r="E8" i="17"/>
  <c r="F8" i="17"/>
  <c r="G8" i="17"/>
  <c r="H8" i="17"/>
  <c r="I8" i="17"/>
  <c r="J8" i="17"/>
  <c r="K8" i="17"/>
  <c r="L8" i="17"/>
  <c r="M8" i="17"/>
  <c r="C9" i="17"/>
  <c r="D9" i="17"/>
  <c r="E9" i="17"/>
  <c r="F9" i="17"/>
  <c r="G9" i="17"/>
  <c r="H9" i="17"/>
  <c r="I9" i="17"/>
  <c r="J9" i="17"/>
  <c r="K9" i="17"/>
  <c r="L9" i="17"/>
  <c r="M9" i="17"/>
  <c r="C10" i="17"/>
  <c r="D10" i="17"/>
  <c r="E10" i="17"/>
  <c r="F10" i="17"/>
  <c r="G10" i="17"/>
  <c r="H10" i="17"/>
  <c r="I10" i="17"/>
  <c r="J10" i="17"/>
  <c r="K10" i="17"/>
  <c r="L10" i="17"/>
  <c r="M10" i="17"/>
  <c r="C11" i="17"/>
  <c r="D11" i="17"/>
  <c r="E11" i="17"/>
  <c r="F11" i="17"/>
  <c r="G11" i="17"/>
  <c r="H11" i="17"/>
  <c r="I11" i="17"/>
  <c r="J11" i="17"/>
  <c r="K11" i="17"/>
  <c r="L11" i="17"/>
  <c r="M11" i="17"/>
  <c r="C12" i="17"/>
  <c r="D12" i="17"/>
  <c r="E12" i="17"/>
  <c r="F12" i="17"/>
  <c r="G12" i="17"/>
  <c r="H12" i="17"/>
  <c r="I12" i="17"/>
  <c r="J12" i="17"/>
  <c r="K12" i="17"/>
  <c r="L12" i="17"/>
  <c r="M12" i="17"/>
  <c r="C13" i="17"/>
  <c r="D13" i="17"/>
  <c r="E13" i="17"/>
  <c r="F13" i="17"/>
  <c r="G13" i="17"/>
  <c r="H13" i="17"/>
  <c r="I13" i="17"/>
  <c r="J13" i="17"/>
  <c r="K13" i="17"/>
  <c r="L13" i="17"/>
  <c r="M13" i="17"/>
  <c r="C14" i="17"/>
  <c r="D14" i="17"/>
  <c r="E14" i="17"/>
  <c r="F14" i="17"/>
  <c r="G14" i="17"/>
  <c r="H14" i="17"/>
  <c r="I14" i="17"/>
  <c r="J14" i="17"/>
  <c r="K14" i="17"/>
  <c r="L14" i="17"/>
  <c r="M14" i="17"/>
  <c r="C15" i="17"/>
  <c r="D15" i="17"/>
  <c r="E15" i="17"/>
  <c r="F15" i="17"/>
  <c r="G15" i="17"/>
  <c r="H15" i="17"/>
  <c r="I15" i="17"/>
  <c r="J15" i="17"/>
  <c r="K15" i="17"/>
  <c r="L15" i="17"/>
  <c r="M15" i="17"/>
  <c r="C16" i="17"/>
  <c r="D16" i="17"/>
  <c r="E16" i="17"/>
  <c r="F16" i="17"/>
  <c r="G16" i="17"/>
  <c r="H16" i="17"/>
  <c r="I16" i="17"/>
  <c r="J16" i="17"/>
  <c r="K16" i="17"/>
  <c r="L16" i="17"/>
  <c r="M16" i="17"/>
  <c r="C17" i="17"/>
  <c r="D17" i="17"/>
  <c r="E17" i="17"/>
  <c r="F17" i="17"/>
  <c r="G17" i="17"/>
  <c r="H17" i="17"/>
  <c r="I17" i="17"/>
  <c r="J17" i="17"/>
  <c r="K17" i="17"/>
  <c r="L17" i="17"/>
  <c r="M17" i="17"/>
  <c r="C18" i="17"/>
  <c r="D18" i="17"/>
  <c r="E18" i="17"/>
  <c r="F18" i="17"/>
  <c r="G18" i="17"/>
  <c r="H18" i="17"/>
  <c r="I18" i="17"/>
  <c r="J18" i="17"/>
  <c r="K18" i="17"/>
  <c r="L18" i="17"/>
  <c r="M18" i="17"/>
  <c r="C19" i="17"/>
  <c r="D19" i="17"/>
  <c r="E19" i="17"/>
  <c r="F19" i="17"/>
  <c r="G19" i="17"/>
  <c r="H19" i="17"/>
  <c r="I19" i="17"/>
  <c r="J19" i="17"/>
  <c r="K19" i="17"/>
  <c r="L19" i="17"/>
  <c r="M19" i="17"/>
  <c r="C20" i="17"/>
  <c r="D20" i="17"/>
  <c r="E20" i="17"/>
  <c r="F20" i="17"/>
  <c r="G20" i="17"/>
  <c r="H20" i="17"/>
  <c r="I20" i="17"/>
  <c r="J20" i="17"/>
  <c r="K20" i="17"/>
  <c r="L20" i="17"/>
  <c r="M20" i="17"/>
  <c r="C21" i="17"/>
  <c r="D21" i="17"/>
  <c r="E21" i="17"/>
  <c r="F21" i="17"/>
  <c r="G21" i="17"/>
  <c r="H21" i="17"/>
  <c r="I21" i="17"/>
  <c r="J21" i="17"/>
  <c r="K21" i="17"/>
  <c r="L21" i="17"/>
  <c r="M21" i="17"/>
  <c r="C22" i="17"/>
  <c r="D22" i="17"/>
  <c r="E22" i="17"/>
  <c r="F22" i="17"/>
  <c r="G22" i="17"/>
  <c r="H22" i="17"/>
  <c r="I22" i="17"/>
  <c r="J22" i="17"/>
  <c r="K22" i="17"/>
  <c r="L22" i="17"/>
  <c r="M22" i="17"/>
  <c r="C23" i="17"/>
  <c r="D23" i="17"/>
  <c r="E23" i="17"/>
  <c r="F23" i="17"/>
  <c r="G23" i="17"/>
  <c r="H23" i="17"/>
  <c r="I23" i="17"/>
  <c r="J23" i="17"/>
  <c r="K23" i="17"/>
  <c r="L23" i="17"/>
  <c r="M23" i="17"/>
  <c r="C24" i="17"/>
  <c r="D24" i="17"/>
  <c r="E24" i="17"/>
  <c r="F24" i="17"/>
  <c r="G24" i="17"/>
  <c r="H24" i="17"/>
  <c r="I24" i="17"/>
  <c r="J24" i="17"/>
  <c r="K24" i="17"/>
  <c r="L24" i="17"/>
  <c r="M24" i="17"/>
  <c r="C25" i="17"/>
  <c r="D25" i="17"/>
  <c r="E25" i="17"/>
  <c r="F25" i="17"/>
  <c r="G25" i="17"/>
  <c r="H25" i="17"/>
  <c r="I25" i="17"/>
  <c r="J25" i="17"/>
  <c r="K25" i="17"/>
  <c r="L25" i="17"/>
  <c r="M25" i="17"/>
  <c r="C26" i="17"/>
  <c r="D26" i="17"/>
  <c r="E26" i="17"/>
  <c r="F26" i="17"/>
  <c r="G26" i="17"/>
  <c r="H26" i="17"/>
  <c r="I26" i="17"/>
  <c r="J26" i="17"/>
  <c r="K26" i="17"/>
  <c r="L26" i="17"/>
  <c r="M26" i="17"/>
  <c r="C27" i="17"/>
  <c r="D27" i="17"/>
  <c r="E27" i="17"/>
  <c r="F27" i="17"/>
  <c r="G27" i="17"/>
  <c r="H27" i="17"/>
  <c r="I27" i="17"/>
  <c r="J27" i="17"/>
  <c r="K27" i="17"/>
  <c r="L27" i="17"/>
  <c r="M27" i="17"/>
  <c r="C28" i="17"/>
  <c r="D28" i="17"/>
  <c r="E28" i="17"/>
  <c r="F28" i="17"/>
  <c r="G28" i="17"/>
  <c r="H28" i="17"/>
  <c r="I28" i="17"/>
  <c r="J28" i="17"/>
  <c r="K28" i="17"/>
  <c r="L28" i="17"/>
  <c r="M28" i="17"/>
  <c r="C29" i="17"/>
  <c r="D29" i="17"/>
  <c r="E29" i="17"/>
  <c r="F29" i="17"/>
  <c r="G29" i="17"/>
  <c r="H29" i="17"/>
  <c r="I29" i="17"/>
  <c r="J29" i="17"/>
  <c r="K29" i="17"/>
  <c r="L29" i="17"/>
  <c r="M29" i="17"/>
  <c r="C30" i="17"/>
  <c r="D30" i="17"/>
  <c r="E30" i="17"/>
  <c r="F30" i="17"/>
  <c r="G30" i="17"/>
  <c r="H30" i="17"/>
  <c r="I30" i="17"/>
  <c r="J30" i="17"/>
  <c r="K30" i="17"/>
  <c r="L30" i="17"/>
  <c r="M30" i="17"/>
  <c r="C31" i="17"/>
  <c r="D31" i="17"/>
  <c r="E31" i="17"/>
  <c r="F31" i="17"/>
  <c r="G31" i="17"/>
  <c r="H31" i="17"/>
  <c r="I31" i="17"/>
  <c r="J31" i="17"/>
  <c r="K31" i="17"/>
  <c r="L31" i="17"/>
  <c r="M31" i="17"/>
  <c r="C32" i="17"/>
  <c r="D32" i="17"/>
  <c r="E32" i="17"/>
  <c r="F32" i="17"/>
  <c r="G32" i="17"/>
  <c r="H32" i="17"/>
  <c r="I32" i="17"/>
  <c r="J32" i="17"/>
  <c r="K32" i="17"/>
  <c r="L32" i="17"/>
  <c r="M32" i="17"/>
  <c r="B32" i="17"/>
  <c r="B30" i="17"/>
  <c r="B28" i="17"/>
  <c r="B27" i="17"/>
  <c r="B24" i="17"/>
  <c r="B21" i="17"/>
  <c r="B18" i="17"/>
  <c r="B10" i="17"/>
  <c r="B13" i="17"/>
  <c r="B9" i="17"/>
  <c r="C4" i="24"/>
  <c r="D4" i="24"/>
  <c r="E4" i="24"/>
  <c r="F4" i="24"/>
  <c r="G4" i="24"/>
  <c r="H4" i="24"/>
  <c r="I4" i="24"/>
  <c r="J4" i="24"/>
  <c r="K4" i="24"/>
  <c r="L4" i="24"/>
  <c r="M4" i="24"/>
  <c r="C5" i="24"/>
  <c r="D5" i="24"/>
  <c r="E5" i="24"/>
  <c r="F5" i="24"/>
  <c r="G5" i="24"/>
  <c r="H5" i="24"/>
  <c r="I5" i="24"/>
  <c r="J5" i="24"/>
  <c r="K5" i="24"/>
  <c r="L5" i="24"/>
  <c r="M5" i="24"/>
  <c r="C6" i="24"/>
  <c r="D6" i="24"/>
  <c r="E6" i="24"/>
  <c r="F6" i="24"/>
  <c r="G6" i="24"/>
  <c r="H6" i="24"/>
  <c r="I6" i="24"/>
  <c r="J6" i="24"/>
  <c r="K6" i="24"/>
  <c r="L6" i="24"/>
  <c r="M6" i="24"/>
  <c r="C7" i="24"/>
  <c r="D7" i="24"/>
  <c r="E7" i="24"/>
  <c r="F7" i="24"/>
  <c r="G7" i="24"/>
  <c r="H7" i="24"/>
  <c r="I7" i="24"/>
  <c r="J7" i="24"/>
  <c r="K7" i="24"/>
  <c r="L7" i="24"/>
  <c r="M7" i="24"/>
  <c r="C8" i="24"/>
  <c r="D8" i="24"/>
  <c r="E8" i="24"/>
  <c r="F8" i="24"/>
  <c r="G8" i="24"/>
  <c r="H8" i="24"/>
  <c r="I8" i="24"/>
  <c r="J8" i="24"/>
  <c r="K8" i="24"/>
  <c r="L8" i="24"/>
  <c r="M8" i="24"/>
  <c r="C9" i="24"/>
  <c r="D9" i="24"/>
  <c r="E9" i="24"/>
  <c r="F9" i="24"/>
  <c r="G9" i="24"/>
  <c r="H9" i="24"/>
  <c r="I9" i="24"/>
  <c r="J9" i="24"/>
  <c r="K9" i="24"/>
  <c r="L9" i="24"/>
  <c r="M9" i="24"/>
  <c r="C10" i="24"/>
  <c r="D10" i="24"/>
  <c r="E10" i="24"/>
  <c r="F10" i="24"/>
  <c r="G10" i="24"/>
  <c r="H10" i="24"/>
  <c r="I10" i="24"/>
  <c r="J10" i="24"/>
  <c r="K10" i="24"/>
  <c r="L10" i="24"/>
  <c r="M10" i="24"/>
  <c r="C11" i="24"/>
  <c r="D11" i="24"/>
  <c r="E11" i="24"/>
  <c r="F11" i="24"/>
  <c r="G11" i="24"/>
  <c r="H11" i="24"/>
  <c r="I11" i="24"/>
  <c r="J11" i="24"/>
  <c r="K11" i="24"/>
  <c r="L11" i="24"/>
  <c r="M11" i="24"/>
  <c r="C12" i="24"/>
  <c r="D12" i="24"/>
  <c r="E12" i="24"/>
  <c r="F12" i="24"/>
  <c r="G12" i="24"/>
  <c r="H12" i="24"/>
  <c r="I12" i="24"/>
  <c r="J12" i="24"/>
  <c r="K12" i="24"/>
  <c r="L12" i="24"/>
  <c r="M12" i="24"/>
  <c r="C13" i="24"/>
  <c r="D13" i="24"/>
  <c r="E13" i="24"/>
  <c r="F13" i="24"/>
  <c r="G13" i="24"/>
  <c r="H13" i="24"/>
  <c r="I13" i="24"/>
  <c r="J13" i="24"/>
  <c r="K13" i="24"/>
  <c r="L13" i="24"/>
  <c r="M13" i="24"/>
  <c r="C14" i="24"/>
  <c r="D14" i="24"/>
  <c r="E14" i="24"/>
  <c r="F14" i="24"/>
  <c r="G14" i="24"/>
  <c r="H14" i="24"/>
  <c r="I14" i="24"/>
  <c r="J14" i="24"/>
  <c r="K14" i="24"/>
  <c r="L14" i="24"/>
  <c r="M14" i="24"/>
  <c r="C15" i="24"/>
  <c r="D15" i="24"/>
  <c r="E15" i="24"/>
  <c r="F15" i="24"/>
  <c r="G15" i="24"/>
  <c r="H15" i="24"/>
  <c r="I15" i="24"/>
  <c r="J15" i="24"/>
  <c r="K15" i="24"/>
  <c r="L15" i="24"/>
  <c r="M15" i="24"/>
  <c r="C16" i="24"/>
  <c r="D16" i="24"/>
  <c r="E16" i="24"/>
  <c r="F16" i="24"/>
  <c r="G16" i="24"/>
  <c r="H16" i="24"/>
  <c r="I16" i="24"/>
  <c r="J16" i="24"/>
  <c r="K16" i="24"/>
  <c r="L16" i="24"/>
  <c r="M16" i="24"/>
  <c r="C17" i="24"/>
  <c r="D17" i="24"/>
  <c r="E17" i="24"/>
  <c r="F17" i="24"/>
  <c r="G17" i="24"/>
  <c r="H17" i="24"/>
  <c r="I17" i="24"/>
  <c r="J17" i="24"/>
  <c r="K17" i="24"/>
  <c r="L17" i="24"/>
  <c r="M17" i="24"/>
  <c r="C18" i="24"/>
  <c r="D18" i="24"/>
  <c r="E18" i="24"/>
  <c r="F18" i="24"/>
  <c r="G18" i="24"/>
  <c r="H18" i="24"/>
  <c r="I18" i="24"/>
  <c r="J18" i="24"/>
  <c r="K18" i="24"/>
  <c r="L18" i="24"/>
  <c r="M18" i="24"/>
  <c r="C19" i="24"/>
  <c r="D19" i="24"/>
  <c r="E19" i="24"/>
  <c r="F19" i="24"/>
  <c r="G19" i="24"/>
  <c r="H19" i="24"/>
  <c r="I19" i="24"/>
  <c r="J19" i="24"/>
  <c r="K19" i="24"/>
  <c r="L19" i="24"/>
  <c r="M19" i="24"/>
  <c r="C20" i="24"/>
  <c r="D20" i="24"/>
  <c r="E20" i="24"/>
  <c r="F20" i="24"/>
  <c r="G20" i="24"/>
  <c r="H20" i="24"/>
  <c r="I20" i="24"/>
  <c r="J20" i="24"/>
  <c r="K20" i="24"/>
  <c r="L20" i="24"/>
  <c r="M20" i="24"/>
  <c r="C21" i="24"/>
  <c r="D21" i="24"/>
  <c r="E21" i="24"/>
  <c r="F21" i="24"/>
  <c r="G21" i="24"/>
  <c r="H21" i="24"/>
  <c r="I21" i="24"/>
  <c r="J21" i="24"/>
  <c r="K21" i="24"/>
  <c r="L21" i="24"/>
  <c r="M21" i="24"/>
  <c r="C22" i="24"/>
  <c r="D22" i="24"/>
  <c r="E22" i="24"/>
  <c r="F22" i="24"/>
  <c r="G22" i="24"/>
  <c r="H22" i="24"/>
  <c r="I22" i="24"/>
  <c r="J22" i="24"/>
  <c r="K22" i="24"/>
  <c r="L22" i="24"/>
  <c r="M22" i="24"/>
  <c r="C23" i="24"/>
  <c r="D23" i="24"/>
  <c r="E23" i="24"/>
  <c r="F23" i="24"/>
  <c r="G23" i="24"/>
  <c r="H23" i="24"/>
  <c r="I23" i="24"/>
  <c r="J23" i="24"/>
  <c r="K23" i="24"/>
  <c r="L23" i="24"/>
  <c r="M23" i="24"/>
  <c r="C24" i="24"/>
  <c r="D24" i="24"/>
  <c r="E24" i="24"/>
  <c r="F24" i="24"/>
  <c r="G24" i="24"/>
  <c r="H24" i="24"/>
  <c r="I24" i="24"/>
  <c r="J24" i="24"/>
  <c r="K24" i="24"/>
  <c r="L24" i="24"/>
  <c r="M24" i="24"/>
  <c r="C25" i="24"/>
  <c r="D25" i="24"/>
  <c r="E25" i="24"/>
  <c r="F25" i="24"/>
  <c r="G25" i="24"/>
  <c r="H25" i="24"/>
  <c r="I25" i="24"/>
  <c r="J25" i="24"/>
  <c r="K25" i="24"/>
  <c r="L25" i="24"/>
  <c r="M25" i="24"/>
  <c r="C26" i="24"/>
  <c r="D26" i="24"/>
  <c r="E26" i="24"/>
  <c r="F26" i="24"/>
  <c r="G26" i="24"/>
  <c r="H26" i="24"/>
  <c r="I26" i="24"/>
  <c r="J26" i="24"/>
  <c r="K26" i="24"/>
  <c r="L26" i="24"/>
  <c r="M26" i="24"/>
  <c r="C27" i="24"/>
  <c r="D27" i="24"/>
  <c r="E27" i="24"/>
  <c r="F27" i="24"/>
  <c r="G27" i="24"/>
  <c r="H27" i="24"/>
  <c r="I27" i="24"/>
  <c r="J27" i="24"/>
  <c r="K27" i="24"/>
  <c r="L27" i="24"/>
  <c r="M27" i="24"/>
  <c r="C28" i="24"/>
  <c r="D28" i="24"/>
  <c r="E28" i="24"/>
  <c r="F28" i="24"/>
  <c r="G28" i="24"/>
  <c r="H28" i="24"/>
  <c r="I28" i="24"/>
  <c r="J28" i="24"/>
  <c r="K28" i="24"/>
  <c r="L28" i="24"/>
  <c r="M28" i="24"/>
  <c r="C29" i="24"/>
  <c r="D29" i="24"/>
  <c r="E29" i="24"/>
  <c r="F29" i="24"/>
  <c r="G29" i="24"/>
  <c r="H29" i="24"/>
  <c r="I29" i="24"/>
  <c r="J29" i="24"/>
  <c r="K29" i="24"/>
  <c r="L29" i="24"/>
  <c r="M29" i="24"/>
  <c r="C30" i="24"/>
  <c r="D30" i="24"/>
  <c r="E30" i="24"/>
  <c r="F30" i="24"/>
  <c r="G30" i="24"/>
  <c r="H30" i="24"/>
  <c r="I30" i="24"/>
  <c r="J30" i="24"/>
  <c r="K30" i="24"/>
  <c r="L30" i="24"/>
  <c r="M30" i="24"/>
  <c r="C31" i="24"/>
  <c r="D31" i="24"/>
  <c r="E31" i="24"/>
  <c r="F31" i="24"/>
  <c r="G31" i="24"/>
  <c r="H31" i="24"/>
  <c r="I31" i="24"/>
  <c r="J31" i="24"/>
  <c r="K31" i="24"/>
  <c r="L31" i="24"/>
  <c r="M31" i="24"/>
  <c r="C32" i="24"/>
  <c r="D32" i="24"/>
  <c r="E32" i="24"/>
  <c r="F32" i="24"/>
  <c r="G32" i="24"/>
  <c r="H32" i="24"/>
  <c r="I32" i="24"/>
  <c r="J32" i="24"/>
  <c r="K32" i="24"/>
  <c r="L32" i="24"/>
  <c r="M32" i="24"/>
  <c r="B32" i="24"/>
  <c r="B30" i="24"/>
  <c r="B28" i="24"/>
  <c r="B27" i="24"/>
  <c r="B24" i="24"/>
  <c r="B21" i="24"/>
  <c r="B18" i="24"/>
  <c r="B13" i="24"/>
  <c r="B9" i="24"/>
  <c r="C4" i="28"/>
  <c r="D4" i="28"/>
  <c r="E4" i="28"/>
  <c r="F4" i="28"/>
  <c r="G4" i="28"/>
  <c r="H4" i="28"/>
  <c r="I4" i="28"/>
  <c r="J4" i="28"/>
  <c r="K4" i="28"/>
  <c r="L4" i="28"/>
  <c r="M4" i="28"/>
  <c r="C5" i="28"/>
  <c r="D5" i="28"/>
  <c r="E5" i="28"/>
  <c r="F5" i="28"/>
  <c r="G5" i="28"/>
  <c r="H5" i="28"/>
  <c r="I5" i="28"/>
  <c r="J5" i="28"/>
  <c r="K5" i="28"/>
  <c r="L5" i="28"/>
  <c r="M5" i="28"/>
  <c r="C6" i="28"/>
  <c r="D6" i="28"/>
  <c r="E6" i="28"/>
  <c r="F6" i="28"/>
  <c r="G6" i="28"/>
  <c r="H6" i="28"/>
  <c r="I6" i="28"/>
  <c r="J6" i="28"/>
  <c r="K6" i="28"/>
  <c r="L6" i="28"/>
  <c r="M6" i="28"/>
  <c r="C7" i="28"/>
  <c r="D7" i="28"/>
  <c r="E7" i="28"/>
  <c r="F7" i="28"/>
  <c r="G7" i="28"/>
  <c r="H7" i="28"/>
  <c r="I7" i="28"/>
  <c r="J7" i="28"/>
  <c r="K7" i="28"/>
  <c r="L7" i="28"/>
  <c r="M7" i="28"/>
  <c r="C8" i="28"/>
  <c r="D8" i="28"/>
  <c r="E8" i="28"/>
  <c r="F8" i="28"/>
  <c r="G8" i="28"/>
  <c r="H8" i="28"/>
  <c r="I8" i="28"/>
  <c r="J8" i="28"/>
  <c r="K8" i="28"/>
  <c r="L8" i="28"/>
  <c r="M8" i="28"/>
  <c r="C9" i="28"/>
  <c r="D9" i="28"/>
  <c r="E9" i="28"/>
  <c r="F9" i="28"/>
  <c r="G9" i="28"/>
  <c r="H9" i="28"/>
  <c r="I9" i="28"/>
  <c r="J9" i="28"/>
  <c r="K9" i="28"/>
  <c r="L9" i="28"/>
  <c r="M9" i="28"/>
  <c r="C10" i="28"/>
  <c r="D10" i="28"/>
  <c r="E10" i="28"/>
  <c r="F10" i="28"/>
  <c r="G10" i="28"/>
  <c r="H10" i="28"/>
  <c r="I10" i="28"/>
  <c r="J10" i="28"/>
  <c r="K10" i="28"/>
  <c r="L10" i="28"/>
  <c r="M10" i="28"/>
  <c r="C11" i="28"/>
  <c r="D11" i="28"/>
  <c r="E11" i="28"/>
  <c r="F11" i="28"/>
  <c r="G11" i="28"/>
  <c r="H11" i="28"/>
  <c r="I11" i="28"/>
  <c r="J11" i="28"/>
  <c r="K11" i="28"/>
  <c r="L11" i="28"/>
  <c r="M11" i="28"/>
  <c r="C12" i="28"/>
  <c r="D12" i="28"/>
  <c r="E12" i="28"/>
  <c r="F12" i="28"/>
  <c r="G12" i="28"/>
  <c r="H12" i="28"/>
  <c r="I12" i="28"/>
  <c r="J12" i="28"/>
  <c r="K12" i="28"/>
  <c r="L12" i="28"/>
  <c r="M12" i="28"/>
  <c r="C13" i="28"/>
  <c r="D13" i="28"/>
  <c r="E13" i="28"/>
  <c r="F13" i="28"/>
  <c r="G13" i="28"/>
  <c r="H13" i="28"/>
  <c r="I13" i="28"/>
  <c r="J13" i="28"/>
  <c r="K13" i="28"/>
  <c r="L13" i="28"/>
  <c r="M13" i="28"/>
  <c r="C14" i="28"/>
  <c r="D14" i="28"/>
  <c r="E14" i="28"/>
  <c r="F14" i="28"/>
  <c r="G14" i="28"/>
  <c r="H14" i="28"/>
  <c r="I14" i="28"/>
  <c r="J14" i="28"/>
  <c r="K14" i="28"/>
  <c r="L14" i="28"/>
  <c r="M14" i="28"/>
  <c r="C15" i="28"/>
  <c r="D15" i="28"/>
  <c r="E15" i="28"/>
  <c r="F15" i="28"/>
  <c r="G15" i="28"/>
  <c r="H15" i="28"/>
  <c r="I15" i="28"/>
  <c r="J15" i="28"/>
  <c r="K15" i="28"/>
  <c r="L15" i="28"/>
  <c r="M15" i="28"/>
  <c r="C16" i="28"/>
  <c r="D16" i="28"/>
  <c r="E16" i="28"/>
  <c r="F16" i="28"/>
  <c r="G16" i="28"/>
  <c r="H16" i="28"/>
  <c r="I16" i="28"/>
  <c r="J16" i="28"/>
  <c r="K16" i="28"/>
  <c r="L16" i="28"/>
  <c r="M16" i="28"/>
  <c r="C17" i="28"/>
  <c r="D17" i="28"/>
  <c r="E17" i="28"/>
  <c r="F17" i="28"/>
  <c r="G17" i="28"/>
  <c r="H17" i="28"/>
  <c r="I17" i="28"/>
  <c r="J17" i="28"/>
  <c r="K17" i="28"/>
  <c r="L17" i="28"/>
  <c r="M17" i="28"/>
  <c r="C18" i="28"/>
  <c r="D18" i="28"/>
  <c r="E18" i="28"/>
  <c r="F18" i="28"/>
  <c r="G18" i="28"/>
  <c r="H18" i="28"/>
  <c r="I18" i="28"/>
  <c r="J18" i="28"/>
  <c r="K18" i="28"/>
  <c r="L18" i="28"/>
  <c r="M18" i="28"/>
  <c r="C19" i="28"/>
  <c r="D19" i="28"/>
  <c r="E19" i="28"/>
  <c r="F19" i="28"/>
  <c r="G19" i="28"/>
  <c r="H19" i="28"/>
  <c r="I19" i="28"/>
  <c r="J19" i="28"/>
  <c r="K19" i="28"/>
  <c r="L19" i="28"/>
  <c r="M19" i="28"/>
  <c r="C20" i="28"/>
  <c r="D20" i="28"/>
  <c r="E20" i="28"/>
  <c r="F20" i="28"/>
  <c r="G20" i="28"/>
  <c r="H20" i="28"/>
  <c r="I20" i="28"/>
  <c r="J20" i="28"/>
  <c r="K20" i="28"/>
  <c r="L20" i="28"/>
  <c r="M20" i="28"/>
  <c r="C21" i="28"/>
  <c r="D21" i="28"/>
  <c r="E21" i="28"/>
  <c r="F21" i="28"/>
  <c r="G21" i="28"/>
  <c r="H21" i="28"/>
  <c r="I21" i="28"/>
  <c r="J21" i="28"/>
  <c r="K21" i="28"/>
  <c r="L21" i="28"/>
  <c r="M21" i="28"/>
  <c r="C22" i="28"/>
  <c r="D22" i="28"/>
  <c r="E22" i="28"/>
  <c r="F22" i="28"/>
  <c r="G22" i="28"/>
  <c r="H22" i="28"/>
  <c r="I22" i="28"/>
  <c r="J22" i="28"/>
  <c r="K22" i="28"/>
  <c r="L22" i="28"/>
  <c r="M22" i="28"/>
  <c r="C23" i="28"/>
  <c r="D23" i="28"/>
  <c r="E23" i="28"/>
  <c r="F23" i="28"/>
  <c r="G23" i="28"/>
  <c r="H23" i="28"/>
  <c r="I23" i="28"/>
  <c r="J23" i="28"/>
  <c r="K23" i="28"/>
  <c r="L23" i="28"/>
  <c r="M23" i="28"/>
  <c r="C24" i="28"/>
  <c r="D24" i="28"/>
  <c r="E24" i="28"/>
  <c r="F24" i="28"/>
  <c r="G24" i="28"/>
  <c r="H24" i="28"/>
  <c r="I24" i="28"/>
  <c r="J24" i="28"/>
  <c r="K24" i="28"/>
  <c r="L24" i="28"/>
  <c r="M24" i="28"/>
  <c r="C25" i="28"/>
  <c r="D25" i="28"/>
  <c r="E25" i="28"/>
  <c r="F25" i="28"/>
  <c r="G25" i="28"/>
  <c r="H25" i="28"/>
  <c r="I25" i="28"/>
  <c r="J25" i="28"/>
  <c r="K25" i="28"/>
  <c r="L25" i="28"/>
  <c r="M25" i="28"/>
  <c r="C26" i="28"/>
  <c r="D26" i="28"/>
  <c r="E26" i="28"/>
  <c r="F26" i="28"/>
  <c r="G26" i="28"/>
  <c r="H26" i="28"/>
  <c r="I26" i="28"/>
  <c r="J26" i="28"/>
  <c r="K26" i="28"/>
  <c r="L26" i="28"/>
  <c r="M26" i="28"/>
  <c r="C27" i="28"/>
  <c r="D27" i="28"/>
  <c r="E27" i="28"/>
  <c r="F27" i="28"/>
  <c r="G27" i="28"/>
  <c r="H27" i="28"/>
  <c r="I27" i="28"/>
  <c r="J27" i="28"/>
  <c r="K27" i="28"/>
  <c r="L27" i="28"/>
  <c r="M27" i="28"/>
  <c r="C28" i="28"/>
  <c r="D28" i="28"/>
  <c r="E28" i="28"/>
  <c r="F28" i="28"/>
  <c r="G28" i="28"/>
  <c r="H28" i="28"/>
  <c r="I28" i="28"/>
  <c r="J28" i="28"/>
  <c r="K28" i="28"/>
  <c r="L28" i="28"/>
  <c r="M28" i="28"/>
  <c r="C29" i="28"/>
  <c r="D29" i="28"/>
  <c r="E29" i="28"/>
  <c r="F29" i="28"/>
  <c r="G29" i="28"/>
  <c r="H29" i="28"/>
  <c r="I29" i="28"/>
  <c r="J29" i="28"/>
  <c r="K29" i="28"/>
  <c r="L29" i="28"/>
  <c r="M29" i="28"/>
  <c r="C30" i="28"/>
  <c r="D30" i="28"/>
  <c r="E30" i="28"/>
  <c r="F30" i="28"/>
  <c r="G30" i="28"/>
  <c r="H30" i="28"/>
  <c r="I30" i="28"/>
  <c r="J30" i="28"/>
  <c r="K30" i="28"/>
  <c r="L30" i="28"/>
  <c r="M30" i="28"/>
  <c r="C31" i="28"/>
  <c r="D31" i="28"/>
  <c r="E31" i="28"/>
  <c r="F31" i="28"/>
  <c r="G31" i="28"/>
  <c r="H31" i="28"/>
  <c r="I31" i="28"/>
  <c r="J31" i="28"/>
  <c r="K31" i="28"/>
  <c r="L31" i="28"/>
  <c r="M31" i="28"/>
  <c r="C32" i="28"/>
  <c r="D32" i="28"/>
  <c r="E32" i="28"/>
  <c r="F32" i="28"/>
  <c r="G32" i="28"/>
  <c r="H32" i="28"/>
  <c r="I32" i="28"/>
  <c r="J32" i="28"/>
  <c r="K32" i="28"/>
  <c r="L32" i="28"/>
  <c r="M32" i="28"/>
  <c r="B32" i="28"/>
  <c r="B30" i="28"/>
  <c r="B28" i="28"/>
  <c r="B27" i="28"/>
  <c r="B24" i="28"/>
  <c r="B21" i="28"/>
  <c r="B18" i="28"/>
  <c r="B13" i="28"/>
  <c r="B10" i="28"/>
  <c r="B9" i="28"/>
  <c r="C4" i="32"/>
  <c r="D4" i="32"/>
  <c r="E4" i="32"/>
  <c r="F4" i="32"/>
  <c r="G4" i="32"/>
  <c r="H4" i="32"/>
  <c r="I4" i="32"/>
  <c r="J4" i="32"/>
  <c r="K4" i="32"/>
  <c r="L4" i="32"/>
  <c r="M4" i="32"/>
  <c r="C5" i="32"/>
  <c r="D5" i="32"/>
  <c r="E5" i="32"/>
  <c r="F5" i="32"/>
  <c r="G5" i="32"/>
  <c r="H5" i="32"/>
  <c r="I5" i="32"/>
  <c r="J5" i="32"/>
  <c r="K5" i="32"/>
  <c r="L5" i="32"/>
  <c r="M5" i="32"/>
  <c r="C6" i="32"/>
  <c r="D6" i="32"/>
  <c r="E6" i="32"/>
  <c r="F6" i="32"/>
  <c r="G6" i="32"/>
  <c r="H6" i="32"/>
  <c r="I6" i="32"/>
  <c r="J6" i="32"/>
  <c r="K6" i="32"/>
  <c r="L6" i="32"/>
  <c r="M6" i="32"/>
  <c r="C7" i="32"/>
  <c r="D7" i="32"/>
  <c r="E7" i="32"/>
  <c r="F7" i="32"/>
  <c r="G7" i="32"/>
  <c r="H7" i="32"/>
  <c r="I7" i="32"/>
  <c r="J7" i="32"/>
  <c r="K7" i="32"/>
  <c r="L7" i="32"/>
  <c r="M7" i="32"/>
  <c r="C8" i="32"/>
  <c r="D8" i="32"/>
  <c r="E8" i="32"/>
  <c r="F8" i="32"/>
  <c r="G8" i="32"/>
  <c r="H8" i="32"/>
  <c r="I8" i="32"/>
  <c r="J8" i="32"/>
  <c r="K8" i="32"/>
  <c r="L8" i="32"/>
  <c r="M8" i="32"/>
  <c r="C9" i="32"/>
  <c r="D9" i="32"/>
  <c r="E9" i="32"/>
  <c r="F9" i="32"/>
  <c r="G9" i="32"/>
  <c r="H9" i="32"/>
  <c r="I9" i="32"/>
  <c r="J9" i="32"/>
  <c r="K9" i="32"/>
  <c r="L9" i="32"/>
  <c r="M9" i="32"/>
  <c r="C10" i="32"/>
  <c r="D10" i="32"/>
  <c r="E10" i="32"/>
  <c r="F10" i="32"/>
  <c r="G10" i="32"/>
  <c r="H10" i="32"/>
  <c r="I10" i="32"/>
  <c r="J10" i="32"/>
  <c r="K10" i="32"/>
  <c r="L10" i="32"/>
  <c r="M10" i="32"/>
  <c r="C11" i="32"/>
  <c r="D11" i="32"/>
  <c r="E11" i="32"/>
  <c r="F11" i="32"/>
  <c r="G11" i="32"/>
  <c r="H11" i="32"/>
  <c r="I11" i="32"/>
  <c r="J11" i="32"/>
  <c r="K11" i="32"/>
  <c r="L11" i="32"/>
  <c r="M11" i="32"/>
  <c r="C12" i="32"/>
  <c r="D12" i="32"/>
  <c r="E12" i="32"/>
  <c r="F12" i="32"/>
  <c r="G12" i="32"/>
  <c r="H12" i="32"/>
  <c r="I12" i="32"/>
  <c r="J12" i="32"/>
  <c r="K12" i="32"/>
  <c r="L12" i="32"/>
  <c r="M12" i="32"/>
  <c r="C13" i="32"/>
  <c r="D13" i="32"/>
  <c r="E13" i="32"/>
  <c r="F13" i="32"/>
  <c r="G13" i="32"/>
  <c r="H13" i="32"/>
  <c r="I13" i="32"/>
  <c r="J13" i="32"/>
  <c r="K13" i="32"/>
  <c r="L13" i="32"/>
  <c r="M13" i="32"/>
  <c r="C14" i="32"/>
  <c r="D14" i="32"/>
  <c r="E14" i="32"/>
  <c r="F14" i="32"/>
  <c r="G14" i="32"/>
  <c r="H14" i="32"/>
  <c r="I14" i="32"/>
  <c r="J14" i="32"/>
  <c r="K14" i="32"/>
  <c r="L14" i="32"/>
  <c r="M14" i="32"/>
  <c r="C15" i="32"/>
  <c r="D15" i="32"/>
  <c r="E15" i="32"/>
  <c r="F15" i="32"/>
  <c r="G15" i="32"/>
  <c r="H15" i="32"/>
  <c r="I15" i="32"/>
  <c r="J15" i="32"/>
  <c r="K15" i="32"/>
  <c r="L15" i="32"/>
  <c r="M15" i="32"/>
  <c r="C16" i="32"/>
  <c r="D16" i="32"/>
  <c r="E16" i="32"/>
  <c r="F16" i="32"/>
  <c r="G16" i="32"/>
  <c r="H16" i="32"/>
  <c r="I16" i="32"/>
  <c r="J16" i="32"/>
  <c r="K16" i="32"/>
  <c r="L16" i="32"/>
  <c r="M16" i="32"/>
  <c r="C17" i="32"/>
  <c r="D17" i="32"/>
  <c r="E17" i="32"/>
  <c r="F17" i="32"/>
  <c r="G17" i="32"/>
  <c r="H17" i="32"/>
  <c r="I17" i="32"/>
  <c r="J17" i="32"/>
  <c r="K17" i="32"/>
  <c r="L17" i="32"/>
  <c r="M17" i="32"/>
  <c r="C18" i="32"/>
  <c r="D18" i="32"/>
  <c r="E18" i="32"/>
  <c r="F18" i="32"/>
  <c r="G18" i="32"/>
  <c r="H18" i="32"/>
  <c r="I18" i="32"/>
  <c r="J18" i="32"/>
  <c r="K18" i="32"/>
  <c r="L18" i="32"/>
  <c r="M18" i="32"/>
  <c r="C19" i="32"/>
  <c r="D19" i="32"/>
  <c r="E19" i="32"/>
  <c r="F19" i="32"/>
  <c r="G19" i="32"/>
  <c r="H19" i="32"/>
  <c r="I19" i="32"/>
  <c r="J19" i="32"/>
  <c r="K19" i="32"/>
  <c r="L19" i="32"/>
  <c r="M19" i="32"/>
  <c r="C20" i="32"/>
  <c r="D20" i="32"/>
  <c r="E20" i="32"/>
  <c r="F20" i="32"/>
  <c r="G20" i="32"/>
  <c r="H20" i="32"/>
  <c r="I20" i="32"/>
  <c r="J20" i="32"/>
  <c r="K20" i="32"/>
  <c r="L20" i="32"/>
  <c r="M20" i="32"/>
  <c r="C21" i="32"/>
  <c r="D21" i="32"/>
  <c r="E21" i="32"/>
  <c r="F21" i="32"/>
  <c r="G21" i="32"/>
  <c r="H21" i="32"/>
  <c r="I21" i="32"/>
  <c r="J21" i="32"/>
  <c r="K21" i="32"/>
  <c r="L21" i="32"/>
  <c r="M21" i="32"/>
  <c r="C22" i="32"/>
  <c r="D22" i="32"/>
  <c r="E22" i="32"/>
  <c r="F22" i="32"/>
  <c r="G22" i="32"/>
  <c r="H22" i="32"/>
  <c r="I22" i="32"/>
  <c r="J22" i="32"/>
  <c r="K22" i="32"/>
  <c r="L22" i="32"/>
  <c r="M22" i="32"/>
  <c r="C23" i="32"/>
  <c r="D23" i="32"/>
  <c r="E23" i="32"/>
  <c r="F23" i="32"/>
  <c r="G23" i="32"/>
  <c r="H23" i="32"/>
  <c r="I23" i="32"/>
  <c r="J23" i="32"/>
  <c r="K23" i="32"/>
  <c r="L23" i="32"/>
  <c r="M23" i="32"/>
  <c r="C24" i="32"/>
  <c r="D24" i="32"/>
  <c r="E24" i="32"/>
  <c r="F24" i="32"/>
  <c r="G24" i="32"/>
  <c r="H24" i="32"/>
  <c r="I24" i="32"/>
  <c r="J24" i="32"/>
  <c r="K24" i="32"/>
  <c r="L24" i="32"/>
  <c r="M24" i="32"/>
  <c r="C25" i="32"/>
  <c r="D25" i="32"/>
  <c r="E25" i="32"/>
  <c r="F25" i="32"/>
  <c r="G25" i="32"/>
  <c r="H25" i="32"/>
  <c r="I25" i="32"/>
  <c r="J25" i="32"/>
  <c r="K25" i="32"/>
  <c r="L25" i="32"/>
  <c r="M25" i="32"/>
  <c r="C26" i="32"/>
  <c r="D26" i="32"/>
  <c r="E26" i="32"/>
  <c r="F26" i="32"/>
  <c r="G26" i="32"/>
  <c r="H26" i="32"/>
  <c r="I26" i="32"/>
  <c r="J26" i="32"/>
  <c r="K26" i="32"/>
  <c r="L26" i="32"/>
  <c r="M26" i="32"/>
  <c r="C27" i="32"/>
  <c r="D27" i="32"/>
  <c r="E27" i="32"/>
  <c r="F27" i="32"/>
  <c r="G27" i="32"/>
  <c r="H27" i="32"/>
  <c r="I27" i="32"/>
  <c r="J27" i="32"/>
  <c r="K27" i="32"/>
  <c r="L27" i="32"/>
  <c r="M27" i="32"/>
  <c r="C28" i="32"/>
  <c r="D28" i="32"/>
  <c r="E28" i="32"/>
  <c r="F28" i="32"/>
  <c r="G28" i="32"/>
  <c r="H28" i="32"/>
  <c r="I28" i="32"/>
  <c r="J28" i="32"/>
  <c r="K28" i="32"/>
  <c r="L28" i="32"/>
  <c r="M28" i="32"/>
  <c r="C29" i="32"/>
  <c r="D29" i="32"/>
  <c r="E29" i="32"/>
  <c r="F29" i="32"/>
  <c r="G29" i="32"/>
  <c r="H29" i="32"/>
  <c r="I29" i="32"/>
  <c r="J29" i="32"/>
  <c r="K29" i="32"/>
  <c r="L29" i="32"/>
  <c r="M29" i="32"/>
  <c r="C30" i="32"/>
  <c r="D30" i="32"/>
  <c r="E30" i="32"/>
  <c r="F30" i="32"/>
  <c r="G30" i="32"/>
  <c r="H30" i="32"/>
  <c r="I30" i="32"/>
  <c r="J30" i="32"/>
  <c r="K30" i="32"/>
  <c r="L30" i="32"/>
  <c r="M30" i="32"/>
  <c r="C31" i="32"/>
  <c r="D31" i="32"/>
  <c r="E31" i="32"/>
  <c r="F31" i="32"/>
  <c r="G31" i="32"/>
  <c r="H31" i="32"/>
  <c r="I31" i="32"/>
  <c r="J31" i="32"/>
  <c r="K31" i="32"/>
  <c r="L31" i="32"/>
  <c r="M31" i="32"/>
  <c r="C32" i="32"/>
  <c r="D32" i="32"/>
  <c r="E32" i="32"/>
  <c r="F32" i="32"/>
  <c r="G32" i="32"/>
  <c r="H32" i="32"/>
  <c r="I32" i="32"/>
  <c r="J32" i="32"/>
  <c r="K32" i="32"/>
  <c r="L32" i="32"/>
  <c r="M32" i="32"/>
  <c r="B32" i="32"/>
  <c r="B30" i="32"/>
  <c r="B28" i="32"/>
  <c r="B27" i="32"/>
  <c r="B24" i="32"/>
  <c r="B21" i="32"/>
  <c r="B18" i="32"/>
  <c r="B13" i="32"/>
  <c r="B10" i="32"/>
  <c r="B9" i="32"/>
  <c r="M32" i="36"/>
  <c r="L32" i="36"/>
  <c r="K32" i="36"/>
  <c r="J32" i="36"/>
  <c r="I32" i="36"/>
  <c r="H32" i="36"/>
  <c r="G32" i="36"/>
  <c r="F32" i="36"/>
  <c r="E32" i="36"/>
  <c r="D32" i="36"/>
  <c r="C32" i="36"/>
  <c r="M31" i="36"/>
  <c r="L31" i="36"/>
  <c r="K31" i="36"/>
  <c r="J31" i="36"/>
  <c r="I31" i="36"/>
  <c r="H31" i="36"/>
  <c r="G31" i="36"/>
  <c r="F31" i="36"/>
  <c r="E31" i="36"/>
  <c r="D31" i="36"/>
  <c r="C31" i="36"/>
  <c r="M30" i="36"/>
  <c r="L30" i="36"/>
  <c r="K30" i="36"/>
  <c r="J30" i="36"/>
  <c r="I30" i="36"/>
  <c r="H30" i="36"/>
  <c r="G30" i="36"/>
  <c r="F30" i="36"/>
  <c r="E30" i="36"/>
  <c r="D30" i="36"/>
  <c r="C30" i="36"/>
  <c r="M29" i="36"/>
  <c r="L29" i="36"/>
  <c r="K29" i="36"/>
  <c r="J29" i="36"/>
  <c r="I29" i="36"/>
  <c r="H29" i="36"/>
  <c r="G29" i="36"/>
  <c r="F29" i="36"/>
  <c r="E29" i="36"/>
  <c r="D29" i="36"/>
  <c r="C29" i="36"/>
  <c r="M28" i="36"/>
  <c r="L28" i="36"/>
  <c r="K28" i="36"/>
  <c r="J28" i="36"/>
  <c r="I28" i="36"/>
  <c r="H28" i="36"/>
  <c r="G28" i="36"/>
  <c r="F28" i="36"/>
  <c r="E28" i="36"/>
  <c r="D28" i="36"/>
  <c r="C28" i="36"/>
  <c r="M27" i="36"/>
  <c r="L27" i="36"/>
  <c r="K27" i="36"/>
  <c r="J27" i="36"/>
  <c r="I27" i="36"/>
  <c r="H27" i="36"/>
  <c r="G27" i="36"/>
  <c r="F27" i="36"/>
  <c r="E27" i="36"/>
  <c r="D27" i="36"/>
  <c r="C27" i="36"/>
  <c r="M26" i="36"/>
  <c r="L26" i="36"/>
  <c r="K26" i="36"/>
  <c r="J26" i="36"/>
  <c r="I26" i="36"/>
  <c r="H26" i="36"/>
  <c r="G26" i="36"/>
  <c r="F26" i="36"/>
  <c r="E26" i="36"/>
  <c r="D26" i="36"/>
  <c r="C26" i="36"/>
  <c r="M25" i="36"/>
  <c r="L25" i="36"/>
  <c r="K25" i="36"/>
  <c r="J25" i="36"/>
  <c r="I25" i="36"/>
  <c r="H25" i="36"/>
  <c r="G25" i="36"/>
  <c r="F25" i="36"/>
  <c r="E25" i="36"/>
  <c r="D25" i="36"/>
  <c r="C25" i="36"/>
  <c r="M24" i="36"/>
  <c r="L24" i="36"/>
  <c r="K24" i="36"/>
  <c r="J24" i="36"/>
  <c r="I24" i="36"/>
  <c r="H24" i="36"/>
  <c r="G24" i="36"/>
  <c r="F24" i="36"/>
  <c r="E24" i="36"/>
  <c r="D24" i="36"/>
  <c r="C24" i="36"/>
  <c r="M23" i="36"/>
  <c r="L23" i="36"/>
  <c r="K23" i="36"/>
  <c r="J23" i="36"/>
  <c r="I23" i="36"/>
  <c r="H23" i="36"/>
  <c r="G23" i="36"/>
  <c r="F23" i="36"/>
  <c r="E23" i="36"/>
  <c r="D23" i="36"/>
  <c r="C23" i="36"/>
  <c r="M22" i="36"/>
  <c r="L22" i="36"/>
  <c r="K22" i="36"/>
  <c r="J22" i="36"/>
  <c r="I22" i="36"/>
  <c r="H22" i="36"/>
  <c r="G22" i="36"/>
  <c r="F22" i="36"/>
  <c r="E22" i="36"/>
  <c r="D22" i="36"/>
  <c r="C22" i="36"/>
  <c r="M21" i="36"/>
  <c r="L21" i="36"/>
  <c r="K21" i="36"/>
  <c r="J21" i="36"/>
  <c r="I21" i="36"/>
  <c r="H21" i="36"/>
  <c r="G21" i="36"/>
  <c r="F21" i="36"/>
  <c r="E21" i="36"/>
  <c r="D21" i="36"/>
  <c r="C21" i="36"/>
  <c r="M20" i="36"/>
  <c r="L20" i="36"/>
  <c r="K20" i="36"/>
  <c r="J20" i="36"/>
  <c r="I20" i="36"/>
  <c r="H20" i="36"/>
  <c r="G20" i="36"/>
  <c r="F20" i="36"/>
  <c r="E20" i="36"/>
  <c r="D20" i="36"/>
  <c r="C20" i="36"/>
  <c r="M19" i="36"/>
  <c r="L19" i="36"/>
  <c r="K19" i="36"/>
  <c r="J19" i="36"/>
  <c r="I19" i="36"/>
  <c r="H19" i="36"/>
  <c r="G19" i="36"/>
  <c r="F19" i="36"/>
  <c r="E19" i="36"/>
  <c r="D19" i="36"/>
  <c r="C19" i="36"/>
  <c r="M18" i="36"/>
  <c r="L18" i="36"/>
  <c r="K18" i="36"/>
  <c r="J18" i="36"/>
  <c r="I18" i="36"/>
  <c r="H18" i="36"/>
  <c r="G18" i="36"/>
  <c r="F18" i="36"/>
  <c r="E18" i="36"/>
  <c r="D18" i="36"/>
  <c r="C18" i="36"/>
  <c r="M17" i="36"/>
  <c r="L17" i="36"/>
  <c r="K17" i="36"/>
  <c r="J17" i="36"/>
  <c r="I17" i="36"/>
  <c r="H17" i="36"/>
  <c r="G17" i="36"/>
  <c r="F17" i="36"/>
  <c r="E17" i="36"/>
  <c r="D17" i="36"/>
  <c r="C17" i="36"/>
  <c r="M16" i="36"/>
  <c r="L16" i="36"/>
  <c r="K16" i="36"/>
  <c r="J16" i="36"/>
  <c r="I16" i="36"/>
  <c r="H16" i="36"/>
  <c r="G16" i="36"/>
  <c r="F16" i="36"/>
  <c r="E16" i="36"/>
  <c r="D16" i="36"/>
  <c r="C16" i="36"/>
  <c r="M15" i="36"/>
  <c r="L15" i="36"/>
  <c r="K15" i="36"/>
  <c r="J15" i="36"/>
  <c r="I15" i="36"/>
  <c r="H15" i="36"/>
  <c r="G15" i="36"/>
  <c r="F15" i="36"/>
  <c r="E15" i="36"/>
  <c r="D15" i="36"/>
  <c r="C15" i="36"/>
  <c r="M14" i="36"/>
  <c r="L14" i="36"/>
  <c r="K14" i="36"/>
  <c r="J14" i="36"/>
  <c r="I14" i="36"/>
  <c r="H14" i="36"/>
  <c r="G14" i="36"/>
  <c r="F14" i="36"/>
  <c r="E14" i="36"/>
  <c r="D14" i="36"/>
  <c r="C14" i="36"/>
  <c r="M13" i="36"/>
  <c r="L13" i="36"/>
  <c r="K13" i="36"/>
  <c r="J13" i="36"/>
  <c r="I13" i="36"/>
  <c r="H13" i="36"/>
  <c r="G13" i="36"/>
  <c r="F13" i="36"/>
  <c r="E13" i="36"/>
  <c r="D13" i="36"/>
  <c r="C13" i="36"/>
  <c r="M12" i="36"/>
  <c r="L12" i="36"/>
  <c r="K12" i="36"/>
  <c r="J12" i="36"/>
  <c r="I12" i="36"/>
  <c r="H12" i="36"/>
  <c r="G12" i="36"/>
  <c r="F12" i="36"/>
  <c r="E12" i="36"/>
  <c r="D12" i="36"/>
  <c r="C12" i="36"/>
  <c r="M11" i="36"/>
  <c r="L11" i="36"/>
  <c r="K11" i="36"/>
  <c r="J11" i="36"/>
  <c r="I11" i="36"/>
  <c r="H11" i="36"/>
  <c r="G11" i="36"/>
  <c r="F11" i="36"/>
  <c r="E11" i="36"/>
  <c r="D11" i="36"/>
  <c r="C11" i="36"/>
  <c r="M10" i="36"/>
  <c r="L10" i="36"/>
  <c r="K10" i="36"/>
  <c r="J10" i="36"/>
  <c r="I10" i="36"/>
  <c r="H10" i="36"/>
  <c r="G10" i="36"/>
  <c r="F10" i="36"/>
  <c r="E10" i="36"/>
  <c r="D10" i="36"/>
  <c r="C10" i="36"/>
  <c r="M9" i="36"/>
  <c r="L9" i="36"/>
  <c r="K9" i="36"/>
  <c r="J9" i="36"/>
  <c r="I9" i="36"/>
  <c r="H9" i="36"/>
  <c r="G9" i="36"/>
  <c r="F9" i="36"/>
  <c r="E9" i="36"/>
  <c r="D9" i="36"/>
  <c r="C9" i="36"/>
  <c r="M8" i="36"/>
  <c r="L8" i="36"/>
  <c r="K8" i="36"/>
  <c r="J8" i="36"/>
  <c r="I8" i="36"/>
  <c r="H8" i="36"/>
  <c r="G8" i="36"/>
  <c r="F8" i="36"/>
  <c r="E8" i="36"/>
  <c r="D8" i="36"/>
  <c r="C8" i="36"/>
  <c r="M7" i="36"/>
  <c r="L7" i="36"/>
  <c r="K7" i="36"/>
  <c r="J7" i="36"/>
  <c r="I7" i="36"/>
  <c r="H7" i="36"/>
  <c r="G7" i="36"/>
  <c r="F7" i="36"/>
  <c r="E7" i="36"/>
  <c r="D7" i="36"/>
  <c r="C7" i="36"/>
  <c r="M6" i="36"/>
  <c r="L6" i="36"/>
  <c r="K6" i="36"/>
  <c r="J6" i="36"/>
  <c r="I6" i="36"/>
  <c r="H6" i="36"/>
  <c r="G6" i="36"/>
  <c r="F6" i="36"/>
  <c r="E6" i="36"/>
  <c r="D6" i="36"/>
  <c r="C6" i="36"/>
  <c r="M5" i="36"/>
  <c r="L5" i="36"/>
  <c r="K5" i="36"/>
  <c r="J5" i="36"/>
  <c r="I5" i="36"/>
  <c r="H5" i="36"/>
  <c r="G5" i="36"/>
  <c r="F5" i="36"/>
  <c r="E5" i="36"/>
  <c r="D5" i="36"/>
  <c r="C5" i="36"/>
  <c r="M4" i="36"/>
  <c r="L4" i="36"/>
  <c r="K4" i="36"/>
  <c r="J4" i="36"/>
  <c r="I4" i="36"/>
  <c r="H4" i="36"/>
  <c r="G4" i="36"/>
  <c r="F4" i="36"/>
  <c r="E4" i="36"/>
  <c r="D4" i="36"/>
  <c r="C4" i="36"/>
  <c r="B32" i="36"/>
  <c r="B30" i="36"/>
  <c r="B28" i="36"/>
  <c r="B27" i="36"/>
  <c r="B24" i="36"/>
  <c r="B21" i="36"/>
  <c r="B18" i="36"/>
  <c r="B13" i="36"/>
  <c r="B10" i="36"/>
  <c r="B9" i="36"/>
  <c r="C4" i="41"/>
  <c r="D4" i="41"/>
  <c r="E4" i="41"/>
  <c r="F4" i="41"/>
  <c r="G4" i="41"/>
  <c r="H4" i="41"/>
  <c r="I4" i="41"/>
  <c r="J4" i="41"/>
  <c r="K4" i="41"/>
  <c r="L4" i="41"/>
  <c r="M4" i="41"/>
  <c r="C5" i="41"/>
  <c r="D5" i="41"/>
  <c r="E5" i="41"/>
  <c r="F5" i="41"/>
  <c r="G5" i="41"/>
  <c r="H5" i="41"/>
  <c r="I5" i="41"/>
  <c r="J5" i="41"/>
  <c r="K5" i="41"/>
  <c r="L5" i="41"/>
  <c r="M5" i="41"/>
  <c r="C6" i="41"/>
  <c r="D6" i="41"/>
  <c r="E6" i="41"/>
  <c r="F6" i="41"/>
  <c r="G6" i="41"/>
  <c r="H6" i="41"/>
  <c r="I6" i="41"/>
  <c r="J6" i="41"/>
  <c r="K6" i="41"/>
  <c r="L6" i="41"/>
  <c r="M6" i="41"/>
  <c r="C7" i="41"/>
  <c r="D7" i="41"/>
  <c r="E7" i="41"/>
  <c r="F7" i="41"/>
  <c r="G7" i="41"/>
  <c r="H7" i="41"/>
  <c r="I7" i="41"/>
  <c r="J7" i="41"/>
  <c r="K7" i="41"/>
  <c r="L7" i="41"/>
  <c r="M7" i="41"/>
  <c r="C8" i="41"/>
  <c r="D8" i="41"/>
  <c r="E8" i="41"/>
  <c r="F8" i="41"/>
  <c r="G8" i="41"/>
  <c r="H8" i="41"/>
  <c r="I8" i="41"/>
  <c r="J8" i="41"/>
  <c r="K8" i="41"/>
  <c r="L8" i="41"/>
  <c r="M8" i="41"/>
  <c r="C9" i="41"/>
  <c r="D9" i="41"/>
  <c r="E9" i="41"/>
  <c r="F9" i="41"/>
  <c r="G9" i="41"/>
  <c r="H9" i="41"/>
  <c r="I9" i="41"/>
  <c r="J9" i="41"/>
  <c r="K9" i="41"/>
  <c r="L9" i="41"/>
  <c r="M9" i="41"/>
  <c r="C10" i="41"/>
  <c r="D10" i="41"/>
  <c r="E10" i="41"/>
  <c r="F10" i="41"/>
  <c r="G10" i="41"/>
  <c r="H10" i="41"/>
  <c r="I10" i="41"/>
  <c r="J10" i="41"/>
  <c r="K10" i="41"/>
  <c r="L10" i="41"/>
  <c r="M10" i="41"/>
  <c r="C11" i="41"/>
  <c r="D11" i="41"/>
  <c r="E11" i="41"/>
  <c r="F11" i="41"/>
  <c r="G11" i="41"/>
  <c r="H11" i="41"/>
  <c r="I11" i="41"/>
  <c r="J11" i="41"/>
  <c r="K11" i="41"/>
  <c r="L11" i="41"/>
  <c r="M11" i="41"/>
  <c r="C12" i="41"/>
  <c r="D12" i="41"/>
  <c r="E12" i="41"/>
  <c r="F12" i="41"/>
  <c r="G12" i="41"/>
  <c r="H12" i="41"/>
  <c r="I12" i="41"/>
  <c r="J12" i="41"/>
  <c r="K12" i="41"/>
  <c r="L12" i="41"/>
  <c r="M12" i="41"/>
  <c r="C13" i="41"/>
  <c r="D13" i="41"/>
  <c r="E13" i="41"/>
  <c r="F13" i="41"/>
  <c r="G13" i="41"/>
  <c r="H13" i="41"/>
  <c r="I13" i="41"/>
  <c r="J13" i="41"/>
  <c r="K13" i="41"/>
  <c r="L13" i="41"/>
  <c r="M13" i="41"/>
  <c r="C14" i="41"/>
  <c r="D14" i="41"/>
  <c r="E14" i="41"/>
  <c r="F14" i="41"/>
  <c r="G14" i="41"/>
  <c r="H14" i="41"/>
  <c r="I14" i="41"/>
  <c r="J14" i="41"/>
  <c r="K14" i="41"/>
  <c r="L14" i="41"/>
  <c r="M14" i="41"/>
  <c r="C15" i="41"/>
  <c r="D15" i="41"/>
  <c r="E15" i="41"/>
  <c r="F15" i="41"/>
  <c r="G15" i="41"/>
  <c r="H15" i="41"/>
  <c r="I15" i="41"/>
  <c r="J15" i="41"/>
  <c r="K15" i="41"/>
  <c r="L15" i="41"/>
  <c r="M15" i="41"/>
  <c r="C16" i="41"/>
  <c r="D16" i="41"/>
  <c r="E16" i="41"/>
  <c r="F16" i="41"/>
  <c r="G16" i="41"/>
  <c r="H16" i="41"/>
  <c r="I16" i="41"/>
  <c r="J16" i="41"/>
  <c r="K16" i="41"/>
  <c r="L16" i="41"/>
  <c r="M16" i="41"/>
  <c r="C17" i="41"/>
  <c r="D17" i="41"/>
  <c r="E17" i="41"/>
  <c r="F17" i="41"/>
  <c r="G17" i="41"/>
  <c r="H17" i="41"/>
  <c r="I17" i="41"/>
  <c r="J17" i="41"/>
  <c r="K17" i="41"/>
  <c r="L17" i="41"/>
  <c r="M17" i="41"/>
  <c r="C18" i="41"/>
  <c r="D18" i="41"/>
  <c r="E18" i="41"/>
  <c r="F18" i="41"/>
  <c r="G18" i="41"/>
  <c r="H18" i="41"/>
  <c r="I18" i="41"/>
  <c r="J18" i="41"/>
  <c r="K18" i="41"/>
  <c r="L18" i="41"/>
  <c r="M18" i="41"/>
  <c r="C19" i="41"/>
  <c r="D19" i="41"/>
  <c r="E19" i="41"/>
  <c r="F19" i="41"/>
  <c r="G19" i="41"/>
  <c r="H19" i="41"/>
  <c r="I19" i="41"/>
  <c r="J19" i="41"/>
  <c r="K19" i="41"/>
  <c r="L19" i="41"/>
  <c r="M19" i="41"/>
  <c r="C20" i="41"/>
  <c r="D20" i="41"/>
  <c r="E20" i="41"/>
  <c r="F20" i="41"/>
  <c r="G20" i="41"/>
  <c r="H20" i="41"/>
  <c r="I20" i="41"/>
  <c r="J20" i="41"/>
  <c r="K20" i="41"/>
  <c r="L20" i="41"/>
  <c r="M20" i="41"/>
  <c r="C21" i="41"/>
  <c r="D21" i="41"/>
  <c r="E21" i="41"/>
  <c r="F21" i="41"/>
  <c r="G21" i="41"/>
  <c r="H21" i="41"/>
  <c r="I21" i="41"/>
  <c r="J21" i="41"/>
  <c r="K21" i="41"/>
  <c r="L21" i="41"/>
  <c r="M21" i="41"/>
  <c r="C22" i="41"/>
  <c r="D22" i="41"/>
  <c r="E22" i="41"/>
  <c r="F22" i="41"/>
  <c r="G22" i="41"/>
  <c r="H22" i="41"/>
  <c r="I22" i="41"/>
  <c r="J22" i="41"/>
  <c r="K22" i="41"/>
  <c r="L22" i="41"/>
  <c r="M22" i="41"/>
  <c r="C23" i="41"/>
  <c r="D23" i="41"/>
  <c r="E23" i="41"/>
  <c r="F23" i="41"/>
  <c r="G23" i="41"/>
  <c r="H23" i="41"/>
  <c r="I23" i="41"/>
  <c r="J23" i="41"/>
  <c r="K23" i="41"/>
  <c r="L23" i="41"/>
  <c r="M23" i="41"/>
  <c r="C24" i="41"/>
  <c r="D24" i="41"/>
  <c r="E24" i="41"/>
  <c r="F24" i="41"/>
  <c r="G24" i="41"/>
  <c r="H24" i="41"/>
  <c r="I24" i="41"/>
  <c r="J24" i="41"/>
  <c r="K24" i="41"/>
  <c r="L24" i="41"/>
  <c r="M24" i="41"/>
  <c r="C25" i="41"/>
  <c r="D25" i="41"/>
  <c r="E25" i="41"/>
  <c r="F25" i="41"/>
  <c r="G25" i="41"/>
  <c r="H25" i="41"/>
  <c r="I25" i="41"/>
  <c r="J25" i="41"/>
  <c r="K25" i="41"/>
  <c r="L25" i="41"/>
  <c r="M25" i="41"/>
  <c r="C26" i="41"/>
  <c r="D26" i="41"/>
  <c r="E26" i="41"/>
  <c r="F26" i="41"/>
  <c r="G26" i="41"/>
  <c r="H26" i="41"/>
  <c r="I26" i="41"/>
  <c r="J26" i="41"/>
  <c r="K26" i="41"/>
  <c r="L26" i="41"/>
  <c r="M26" i="41"/>
  <c r="C27" i="41"/>
  <c r="D27" i="41"/>
  <c r="E27" i="41"/>
  <c r="F27" i="41"/>
  <c r="G27" i="41"/>
  <c r="H27" i="41"/>
  <c r="I27" i="41"/>
  <c r="J27" i="41"/>
  <c r="K27" i="41"/>
  <c r="L27" i="41"/>
  <c r="M27" i="41"/>
  <c r="C28" i="41"/>
  <c r="D28" i="41"/>
  <c r="E28" i="41"/>
  <c r="F28" i="41"/>
  <c r="G28" i="41"/>
  <c r="H28" i="41"/>
  <c r="I28" i="41"/>
  <c r="J28" i="41"/>
  <c r="K28" i="41"/>
  <c r="L28" i="41"/>
  <c r="M28" i="41"/>
  <c r="C29" i="41"/>
  <c r="D29" i="41"/>
  <c r="E29" i="41"/>
  <c r="F29" i="41"/>
  <c r="G29" i="41"/>
  <c r="H29" i="41"/>
  <c r="I29" i="41"/>
  <c r="J29" i="41"/>
  <c r="K29" i="41"/>
  <c r="L29" i="41"/>
  <c r="M29" i="41"/>
  <c r="C30" i="41"/>
  <c r="D30" i="41"/>
  <c r="E30" i="41"/>
  <c r="F30" i="41"/>
  <c r="G30" i="41"/>
  <c r="H30" i="41"/>
  <c r="I30" i="41"/>
  <c r="J30" i="41"/>
  <c r="K30" i="41"/>
  <c r="L30" i="41"/>
  <c r="M30" i="41"/>
  <c r="C31" i="41"/>
  <c r="D31" i="41"/>
  <c r="E31" i="41"/>
  <c r="F31" i="41"/>
  <c r="G31" i="41"/>
  <c r="H31" i="41"/>
  <c r="I31" i="41"/>
  <c r="J31" i="41"/>
  <c r="K31" i="41"/>
  <c r="L31" i="41"/>
  <c r="M31" i="41"/>
  <c r="C32" i="41"/>
  <c r="D32" i="41"/>
  <c r="E32" i="41"/>
  <c r="F32" i="41"/>
  <c r="G32" i="41"/>
  <c r="H32" i="41"/>
  <c r="I32" i="41"/>
  <c r="J32" i="41"/>
  <c r="K32" i="41"/>
  <c r="L32" i="41"/>
  <c r="M32" i="41"/>
  <c r="B32" i="41"/>
  <c r="B30" i="41"/>
  <c r="B28" i="41"/>
  <c r="B27" i="41"/>
  <c r="B24" i="41"/>
  <c r="B21" i="41"/>
  <c r="B18" i="41"/>
  <c r="B13" i="41"/>
  <c r="B10" i="41"/>
  <c r="B9" i="41"/>
  <c r="C4" i="45"/>
  <c r="D4" i="45"/>
  <c r="E4" i="45"/>
  <c r="F4" i="45"/>
  <c r="G4" i="45"/>
  <c r="H4" i="45"/>
  <c r="I4" i="45"/>
  <c r="J4" i="45"/>
  <c r="K4" i="45"/>
  <c r="L4" i="45"/>
  <c r="M4" i="45"/>
  <c r="C5" i="45"/>
  <c r="D5" i="45"/>
  <c r="E5" i="45"/>
  <c r="F5" i="45"/>
  <c r="G5" i="45"/>
  <c r="H5" i="45"/>
  <c r="I5" i="45"/>
  <c r="J5" i="45"/>
  <c r="K5" i="45"/>
  <c r="L5" i="45"/>
  <c r="M5" i="45"/>
  <c r="C6" i="45"/>
  <c r="D6" i="45"/>
  <c r="E6" i="45"/>
  <c r="F6" i="45"/>
  <c r="G6" i="45"/>
  <c r="H6" i="45"/>
  <c r="I6" i="45"/>
  <c r="J6" i="45"/>
  <c r="K6" i="45"/>
  <c r="L6" i="45"/>
  <c r="M6" i="45"/>
  <c r="C7" i="45"/>
  <c r="D7" i="45"/>
  <c r="E7" i="45"/>
  <c r="F7" i="45"/>
  <c r="G7" i="45"/>
  <c r="H7" i="45"/>
  <c r="I7" i="45"/>
  <c r="J7" i="45"/>
  <c r="K7" i="45"/>
  <c r="L7" i="45"/>
  <c r="M7" i="45"/>
  <c r="C8" i="45"/>
  <c r="D8" i="45"/>
  <c r="E8" i="45"/>
  <c r="F8" i="45"/>
  <c r="G8" i="45"/>
  <c r="H8" i="45"/>
  <c r="I8" i="45"/>
  <c r="J8" i="45"/>
  <c r="K8" i="45"/>
  <c r="L8" i="45"/>
  <c r="M8" i="45"/>
  <c r="C9" i="45"/>
  <c r="D9" i="45"/>
  <c r="E9" i="45"/>
  <c r="F9" i="45"/>
  <c r="G9" i="45"/>
  <c r="H9" i="45"/>
  <c r="I9" i="45"/>
  <c r="J9" i="45"/>
  <c r="K9" i="45"/>
  <c r="L9" i="45"/>
  <c r="M9" i="45"/>
  <c r="C10" i="45"/>
  <c r="D10" i="45"/>
  <c r="E10" i="45"/>
  <c r="F10" i="45"/>
  <c r="G10" i="45"/>
  <c r="H10" i="45"/>
  <c r="I10" i="45"/>
  <c r="J10" i="45"/>
  <c r="K10" i="45"/>
  <c r="L10" i="45"/>
  <c r="M10" i="45"/>
  <c r="C11" i="45"/>
  <c r="D11" i="45"/>
  <c r="E11" i="45"/>
  <c r="F11" i="45"/>
  <c r="G11" i="45"/>
  <c r="H11" i="45"/>
  <c r="I11" i="45"/>
  <c r="J11" i="45"/>
  <c r="K11" i="45"/>
  <c r="L11" i="45"/>
  <c r="M11" i="45"/>
  <c r="C12" i="45"/>
  <c r="D12" i="45"/>
  <c r="E12" i="45"/>
  <c r="F12" i="45"/>
  <c r="G12" i="45"/>
  <c r="H12" i="45"/>
  <c r="I12" i="45"/>
  <c r="J12" i="45"/>
  <c r="K12" i="45"/>
  <c r="L12" i="45"/>
  <c r="M12" i="45"/>
  <c r="C13" i="45"/>
  <c r="D13" i="45"/>
  <c r="E13" i="45"/>
  <c r="F13" i="45"/>
  <c r="G13" i="45"/>
  <c r="H13" i="45"/>
  <c r="I13" i="45"/>
  <c r="J13" i="45"/>
  <c r="K13" i="45"/>
  <c r="L13" i="45"/>
  <c r="M13" i="45"/>
  <c r="C14" i="45"/>
  <c r="D14" i="45"/>
  <c r="E14" i="45"/>
  <c r="F14" i="45"/>
  <c r="G14" i="45"/>
  <c r="H14" i="45"/>
  <c r="I14" i="45"/>
  <c r="J14" i="45"/>
  <c r="K14" i="45"/>
  <c r="L14" i="45"/>
  <c r="M14" i="45"/>
  <c r="C15" i="45"/>
  <c r="D15" i="45"/>
  <c r="E15" i="45"/>
  <c r="F15" i="45"/>
  <c r="G15" i="45"/>
  <c r="H15" i="45"/>
  <c r="I15" i="45"/>
  <c r="J15" i="45"/>
  <c r="K15" i="45"/>
  <c r="L15" i="45"/>
  <c r="M15" i="45"/>
  <c r="C16" i="45"/>
  <c r="D16" i="45"/>
  <c r="E16" i="45"/>
  <c r="F16" i="45"/>
  <c r="G16" i="45"/>
  <c r="H16" i="45"/>
  <c r="I16" i="45"/>
  <c r="J16" i="45"/>
  <c r="K16" i="45"/>
  <c r="L16" i="45"/>
  <c r="M16" i="45"/>
  <c r="C17" i="45"/>
  <c r="D17" i="45"/>
  <c r="E17" i="45"/>
  <c r="F17" i="45"/>
  <c r="G17" i="45"/>
  <c r="H17" i="45"/>
  <c r="I17" i="45"/>
  <c r="J17" i="45"/>
  <c r="K17" i="45"/>
  <c r="L17" i="45"/>
  <c r="M17" i="45"/>
  <c r="C18" i="45"/>
  <c r="D18" i="45"/>
  <c r="E18" i="45"/>
  <c r="F18" i="45"/>
  <c r="G18" i="45"/>
  <c r="H18" i="45"/>
  <c r="I18" i="45"/>
  <c r="J18" i="45"/>
  <c r="K18" i="45"/>
  <c r="L18" i="45"/>
  <c r="M18" i="45"/>
  <c r="C19" i="45"/>
  <c r="D19" i="45"/>
  <c r="E19" i="45"/>
  <c r="F19" i="45"/>
  <c r="G19" i="45"/>
  <c r="H19" i="45"/>
  <c r="I19" i="45"/>
  <c r="J19" i="45"/>
  <c r="K19" i="45"/>
  <c r="L19" i="45"/>
  <c r="M19" i="45"/>
  <c r="C20" i="45"/>
  <c r="D20" i="45"/>
  <c r="E20" i="45"/>
  <c r="F20" i="45"/>
  <c r="G20" i="45"/>
  <c r="H20" i="45"/>
  <c r="I20" i="45"/>
  <c r="J20" i="45"/>
  <c r="K20" i="45"/>
  <c r="L20" i="45"/>
  <c r="M20" i="45"/>
  <c r="C21" i="45"/>
  <c r="D21" i="45"/>
  <c r="E21" i="45"/>
  <c r="F21" i="45"/>
  <c r="G21" i="45"/>
  <c r="H21" i="45"/>
  <c r="I21" i="45"/>
  <c r="J21" i="45"/>
  <c r="K21" i="45"/>
  <c r="L21" i="45"/>
  <c r="M21" i="45"/>
  <c r="C22" i="45"/>
  <c r="D22" i="45"/>
  <c r="E22" i="45"/>
  <c r="F22" i="45"/>
  <c r="G22" i="45"/>
  <c r="H22" i="45"/>
  <c r="I22" i="45"/>
  <c r="J22" i="45"/>
  <c r="K22" i="45"/>
  <c r="L22" i="45"/>
  <c r="M22" i="45"/>
  <c r="C23" i="45"/>
  <c r="D23" i="45"/>
  <c r="E23" i="45"/>
  <c r="F23" i="45"/>
  <c r="G23" i="45"/>
  <c r="H23" i="45"/>
  <c r="I23" i="45"/>
  <c r="J23" i="45"/>
  <c r="K23" i="45"/>
  <c r="L23" i="45"/>
  <c r="M23" i="45"/>
  <c r="C24" i="45"/>
  <c r="D24" i="45"/>
  <c r="E24" i="45"/>
  <c r="F24" i="45"/>
  <c r="G24" i="45"/>
  <c r="H24" i="45"/>
  <c r="I24" i="45"/>
  <c r="J24" i="45"/>
  <c r="K24" i="45"/>
  <c r="L24" i="45"/>
  <c r="M24" i="45"/>
  <c r="C25" i="45"/>
  <c r="D25" i="45"/>
  <c r="E25" i="45"/>
  <c r="F25" i="45"/>
  <c r="G25" i="45"/>
  <c r="H25" i="45"/>
  <c r="I25" i="45"/>
  <c r="J25" i="45"/>
  <c r="K25" i="45"/>
  <c r="L25" i="45"/>
  <c r="M25" i="45"/>
  <c r="C26" i="45"/>
  <c r="D26" i="45"/>
  <c r="E26" i="45"/>
  <c r="F26" i="45"/>
  <c r="G26" i="45"/>
  <c r="H26" i="45"/>
  <c r="I26" i="45"/>
  <c r="J26" i="45"/>
  <c r="K26" i="45"/>
  <c r="L26" i="45"/>
  <c r="M26" i="45"/>
  <c r="C27" i="45"/>
  <c r="D27" i="45"/>
  <c r="E27" i="45"/>
  <c r="F27" i="45"/>
  <c r="G27" i="45"/>
  <c r="H27" i="45"/>
  <c r="I27" i="45"/>
  <c r="J27" i="45"/>
  <c r="K27" i="45"/>
  <c r="L27" i="45"/>
  <c r="M27" i="45"/>
  <c r="C28" i="45"/>
  <c r="D28" i="45"/>
  <c r="E28" i="45"/>
  <c r="F28" i="45"/>
  <c r="G28" i="45"/>
  <c r="H28" i="45"/>
  <c r="I28" i="45"/>
  <c r="J28" i="45"/>
  <c r="K28" i="45"/>
  <c r="L28" i="45"/>
  <c r="M28" i="45"/>
  <c r="C29" i="45"/>
  <c r="D29" i="45"/>
  <c r="E29" i="45"/>
  <c r="F29" i="45"/>
  <c r="G29" i="45"/>
  <c r="H29" i="45"/>
  <c r="I29" i="45"/>
  <c r="J29" i="45"/>
  <c r="K29" i="45"/>
  <c r="L29" i="45"/>
  <c r="M29" i="45"/>
  <c r="C30" i="45"/>
  <c r="D30" i="45"/>
  <c r="E30" i="45"/>
  <c r="F30" i="45"/>
  <c r="G30" i="45"/>
  <c r="H30" i="45"/>
  <c r="I30" i="45"/>
  <c r="J30" i="45"/>
  <c r="K30" i="45"/>
  <c r="L30" i="45"/>
  <c r="M30" i="45"/>
  <c r="C31" i="45"/>
  <c r="D31" i="45"/>
  <c r="E31" i="45"/>
  <c r="F31" i="45"/>
  <c r="G31" i="45"/>
  <c r="H31" i="45"/>
  <c r="I31" i="45"/>
  <c r="J31" i="45"/>
  <c r="K31" i="45"/>
  <c r="L31" i="45"/>
  <c r="M31" i="45"/>
  <c r="C32" i="45"/>
  <c r="D32" i="45"/>
  <c r="E32" i="45"/>
  <c r="F32" i="45"/>
  <c r="G32" i="45"/>
  <c r="H32" i="45"/>
  <c r="I32" i="45"/>
  <c r="J32" i="45"/>
  <c r="K32" i="45"/>
  <c r="L32" i="45"/>
  <c r="M32" i="45"/>
  <c r="B32" i="45"/>
  <c r="B30" i="45"/>
  <c r="B28" i="45"/>
  <c r="B27" i="45"/>
  <c r="B24" i="45"/>
  <c r="B21" i="45"/>
  <c r="B18" i="45"/>
  <c r="B17" i="45"/>
  <c r="B13" i="45"/>
  <c r="B10" i="45"/>
  <c r="B9" i="45"/>
  <c r="C4" i="46"/>
  <c r="D4" i="46"/>
  <c r="E4" i="46"/>
  <c r="F4" i="46"/>
  <c r="G4" i="46"/>
  <c r="H4" i="46"/>
  <c r="I4" i="46"/>
  <c r="J4" i="46"/>
  <c r="K4" i="46"/>
  <c r="L4" i="46"/>
  <c r="M4" i="46"/>
  <c r="C5" i="46"/>
  <c r="D5" i="46"/>
  <c r="E5" i="46"/>
  <c r="F5" i="46"/>
  <c r="G5" i="46"/>
  <c r="H5" i="46"/>
  <c r="I5" i="46"/>
  <c r="J5" i="46"/>
  <c r="K5" i="46"/>
  <c r="L5" i="46"/>
  <c r="M5" i="46"/>
  <c r="C6" i="46"/>
  <c r="D6" i="46"/>
  <c r="E6" i="46"/>
  <c r="F6" i="46"/>
  <c r="G6" i="46"/>
  <c r="H6" i="46"/>
  <c r="I6" i="46"/>
  <c r="J6" i="46"/>
  <c r="K6" i="46"/>
  <c r="L6" i="46"/>
  <c r="M6" i="46"/>
  <c r="C7" i="46"/>
  <c r="D7" i="46"/>
  <c r="E7" i="46"/>
  <c r="F7" i="46"/>
  <c r="G7" i="46"/>
  <c r="H7" i="46"/>
  <c r="I7" i="46"/>
  <c r="J7" i="46"/>
  <c r="K7" i="46"/>
  <c r="L7" i="46"/>
  <c r="M7" i="46"/>
  <c r="C8" i="46"/>
  <c r="D8" i="46"/>
  <c r="E8" i="46"/>
  <c r="F8" i="46"/>
  <c r="G8" i="46"/>
  <c r="H8" i="46"/>
  <c r="I8" i="46"/>
  <c r="J8" i="46"/>
  <c r="K8" i="46"/>
  <c r="L8" i="46"/>
  <c r="M8" i="46"/>
  <c r="C9" i="46"/>
  <c r="D9" i="46"/>
  <c r="E9" i="46"/>
  <c r="F9" i="46"/>
  <c r="G9" i="46"/>
  <c r="H9" i="46"/>
  <c r="I9" i="46"/>
  <c r="J9" i="46"/>
  <c r="K9" i="46"/>
  <c r="L9" i="46"/>
  <c r="M9" i="46"/>
  <c r="C10" i="46"/>
  <c r="D10" i="46"/>
  <c r="E10" i="46"/>
  <c r="F10" i="46"/>
  <c r="G10" i="46"/>
  <c r="H10" i="46"/>
  <c r="I10" i="46"/>
  <c r="J10" i="46"/>
  <c r="K10" i="46"/>
  <c r="L10" i="46"/>
  <c r="M10" i="46"/>
  <c r="C11" i="46"/>
  <c r="D11" i="46"/>
  <c r="E11" i="46"/>
  <c r="F11" i="46"/>
  <c r="G11" i="46"/>
  <c r="H11" i="46"/>
  <c r="I11" i="46"/>
  <c r="J11" i="46"/>
  <c r="K11" i="46"/>
  <c r="L11" i="46"/>
  <c r="M11" i="46"/>
  <c r="C12" i="46"/>
  <c r="D12" i="46"/>
  <c r="E12" i="46"/>
  <c r="F12" i="46"/>
  <c r="G12" i="46"/>
  <c r="H12" i="46"/>
  <c r="I12" i="46"/>
  <c r="J12" i="46"/>
  <c r="K12" i="46"/>
  <c r="L12" i="46"/>
  <c r="M12" i="46"/>
  <c r="C13" i="46"/>
  <c r="D13" i="46"/>
  <c r="E13" i="46"/>
  <c r="F13" i="46"/>
  <c r="G13" i="46"/>
  <c r="H13" i="46"/>
  <c r="I13" i="46"/>
  <c r="J13" i="46"/>
  <c r="K13" i="46"/>
  <c r="L13" i="46"/>
  <c r="M13" i="46"/>
  <c r="C14" i="46"/>
  <c r="D14" i="46"/>
  <c r="E14" i="46"/>
  <c r="F14" i="46"/>
  <c r="G14" i="46"/>
  <c r="H14" i="46"/>
  <c r="I14" i="46"/>
  <c r="J14" i="46"/>
  <c r="K14" i="46"/>
  <c r="L14" i="46"/>
  <c r="M14" i="46"/>
  <c r="C15" i="46"/>
  <c r="D15" i="46"/>
  <c r="E15" i="46"/>
  <c r="F15" i="46"/>
  <c r="G15" i="46"/>
  <c r="H15" i="46"/>
  <c r="I15" i="46"/>
  <c r="J15" i="46"/>
  <c r="K15" i="46"/>
  <c r="L15" i="46"/>
  <c r="M15" i="46"/>
  <c r="C16" i="46"/>
  <c r="D16" i="46"/>
  <c r="E16" i="46"/>
  <c r="F16" i="46"/>
  <c r="G16" i="46"/>
  <c r="H16" i="46"/>
  <c r="I16" i="46"/>
  <c r="J16" i="46"/>
  <c r="K16" i="46"/>
  <c r="L16" i="46"/>
  <c r="M16" i="46"/>
  <c r="C17" i="46"/>
  <c r="D17" i="46"/>
  <c r="E17" i="46"/>
  <c r="F17" i="46"/>
  <c r="G17" i="46"/>
  <c r="H17" i="46"/>
  <c r="I17" i="46"/>
  <c r="J17" i="46"/>
  <c r="K17" i="46"/>
  <c r="L17" i="46"/>
  <c r="M17" i="46"/>
  <c r="C18" i="46"/>
  <c r="D18" i="46"/>
  <c r="E18" i="46"/>
  <c r="F18" i="46"/>
  <c r="G18" i="46"/>
  <c r="H18" i="46"/>
  <c r="I18" i="46"/>
  <c r="J18" i="46"/>
  <c r="K18" i="46"/>
  <c r="L18" i="46"/>
  <c r="M18" i="46"/>
  <c r="C19" i="46"/>
  <c r="D19" i="46"/>
  <c r="E19" i="46"/>
  <c r="F19" i="46"/>
  <c r="G19" i="46"/>
  <c r="H19" i="46"/>
  <c r="I19" i="46"/>
  <c r="J19" i="46"/>
  <c r="K19" i="46"/>
  <c r="L19" i="46"/>
  <c r="M19" i="46"/>
  <c r="C20" i="46"/>
  <c r="D20" i="46"/>
  <c r="E20" i="46"/>
  <c r="F20" i="46"/>
  <c r="G20" i="46"/>
  <c r="H20" i="46"/>
  <c r="I20" i="46"/>
  <c r="J20" i="46"/>
  <c r="K20" i="46"/>
  <c r="L20" i="46"/>
  <c r="M20" i="46"/>
  <c r="C21" i="46"/>
  <c r="D21" i="46"/>
  <c r="E21" i="46"/>
  <c r="F21" i="46"/>
  <c r="G21" i="46"/>
  <c r="H21" i="46"/>
  <c r="I21" i="46"/>
  <c r="J21" i="46"/>
  <c r="K21" i="46"/>
  <c r="L21" i="46"/>
  <c r="M21" i="46"/>
  <c r="C22" i="46"/>
  <c r="D22" i="46"/>
  <c r="E22" i="46"/>
  <c r="F22" i="46"/>
  <c r="G22" i="46"/>
  <c r="H22" i="46"/>
  <c r="I22" i="46"/>
  <c r="J22" i="46"/>
  <c r="K22" i="46"/>
  <c r="L22" i="46"/>
  <c r="M22" i="46"/>
  <c r="C23" i="46"/>
  <c r="D23" i="46"/>
  <c r="E23" i="46"/>
  <c r="F23" i="46"/>
  <c r="G23" i="46"/>
  <c r="H23" i="46"/>
  <c r="I23" i="46"/>
  <c r="J23" i="46"/>
  <c r="K23" i="46"/>
  <c r="L23" i="46"/>
  <c r="M23" i="46"/>
  <c r="C24" i="46"/>
  <c r="D24" i="46"/>
  <c r="E24" i="46"/>
  <c r="F24" i="46"/>
  <c r="G24" i="46"/>
  <c r="H24" i="46"/>
  <c r="I24" i="46"/>
  <c r="J24" i="46"/>
  <c r="K24" i="46"/>
  <c r="L24" i="46"/>
  <c r="M24" i="46"/>
  <c r="C25" i="46"/>
  <c r="D25" i="46"/>
  <c r="E25" i="46"/>
  <c r="F25" i="46"/>
  <c r="G25" i="46"/>
  <c r="H25" i="46"/>
  <c r="I25" i="46"/>
  <c r="J25" i="46"/>
  <c r="K25" i="46"/>
  <c r="L25" i="46"/>
  <c r="M25" i="46"/>
  <c r="C26" i="46"/>
  <c r="D26" i="46"/>
  <c r="E26" i="46"/>
  <c r="F26" i="46"/>
  <c r="G26" i="46"/>
  <c r="H26" i="46"/>
  <c r="I26" i="46"/>
  <c r="J26" i="46"/>
  <c r="K26" i="46"/>
  <c r="L26" i="46"/>
  <c r="M26" i="46"/>
  <c r="C27" i="46"/>
  <c r="D27" i="46"/>
  <c r="E27" i="46"/>
  <c r="F27" i="46"/>
  <c r="G27" i="46"/>
  <c r="H27" i="46"/>
  <c r="I27" i="46"/>
  <c r="J27" i="46"/>
  <c r="K27" i="46"/>
  <c r="L27" i="46"/>
  <c r="M27" i="46"/>
  <c r="C28" i="46"/>
  <c r="D28" i="46"/>
  <c r="E28" i="46"/>
  <c r="F28" i="46"/>
  <c r="G28" i="46"/>
  <c r="H28" i="46"/>
  <c r="I28" i="46"/>
  <c r="J28" i="46"/>
  <c r="K28" i="46"/>
  <c r="L28" i="46"/>
  <c r="M28" i="46"/>
  <c r="C29" i="46"/>
  <c r="D29" i="46"/>
  <c r="E29" i="46"/>
  <c r="F29" i="46"/>
  <c r="G29" i="46"/>
  <c r="H29" i="46"/>
  <c r="I29" i="46"/>
  <c r="J29" i="46"/>
  <c r="K29" i="46"/>
  <c r="L29" i="46"/>
  <c r="M29" i="46"/>
  <c r="C30" i="46"/>
  <c r="D30" i="46"/>
  <c r="E30" i="46"/>
  <c r="F30" i="46"/>
  <c r="G30" i="46"/>
  <c r="H30" i="46"/>
  <c r="I30" i="46"/>
  <c r="J30" i="46"/>
  <c r="K30" i="46"/>
  <c r="L30" i="46"/>
  <c r="M30" i="46"/>
  <c r="C31" i="46"/>
  <c r="D31" i="46"/>
  <c r="E31" i="46"/>
  <c r="F31" i="46"/>
  <c r="G31" i="46"/>
  <c r="H31" i="46"/>
  <c r="I31" i="46"/>
  <c r="J31" i="46"/>
  <c r="K31" i="46"/>
  <c r="L31" i="46"/>
  <c r="M31" i="46"/>
  <c r="C32" i="46"/>
  <c r="D32" i="46"/>
  <c r="E32" i="46"/>
  <c r="F32" i="46"/>
  <c r="G32" i="46"/>
  <c r="H32" i="46"/>
  <c r="I32" i="46"/>
  <c r="J32" i="46"/>
  <c r="K32" i="46"/>
  <c r="L32" i="46"/>
  <c r="M32" i="46"/>
  <c r="B32" i="46"/>
  <c r="B30" i="46"/>
  <c r="B28" i="46"/>
  <c r="B27" i="46"/>
  <c r="B24" i="46"/>
  <c r="B21" i="46"/>
  <c r="B18" i="46"/>
  <c r="B17" i="46"/>
  <c r="B13" i="46"/>
  <c r="B10" i="46"/>
  <c r="B9" i="46"/>
  <c r="N16" i="95"/>
  <c r="M16" i="95"/>
  <c r="L16" i="95"/>
  <c r="K16" i="95"/>
  <c r="K17" i="94"/>
  <c r="J16" i="95"/>
  <c r="J17" i="94"/>
  <c r="I16" i="95"/>
  <c r="I17" i="94"/>
  <c r="H16" i="95"/>
  <c r="G16" i="95"/>
  <c r="G17" i="94"/>
  <c r="G16" i="94"/>
  <c r="G18" i="94"/>
  <c r="F16" i="95"/>
  <c r="E16" i="95"/>
  <c r="D16" i="95"/>
  <c r="C16" i="95"/>
  <c r="C17" i="94"/>
  <c r="O14" i="95"/>
  <c r="O13" i="95"/>
  <c r="O12" i="95"/>
  <c r="O11" i="95"/>
  <c r="O10" i="95"/>
  <c r="O9" i="95"/>
  <c r="O8" i="95"/>
  <c r="O7" i="95"/>
  <c r="O6" i="95"/>
  <c r="O5" i="95"/>
  <c r="O4" i="95"/>
  <c r="N17" i="94"/>
  <c r="M17" i="94"/>
  <c r="L17" i="94"/>
  <c r="H17" i="94"/>
  <c r="F17" i="94"/>
  <c r="E17" i="94"/>
  <c r="D17" i="94"/>
  <c r="N16" i="94"/>
  <c r="N17" i="93"/>
  <c r="M16" i="94"/>
  <c r="M18" i="94"/>
  <c r="L16" i="94"/>
  <c r="L18" i="94"/>
  <c r="K16" i="94"/>
  <c r="J16" i="94"/>
  <c r="J18" i="94"/>
  <c r="I16" i="94"/>
  <c r="I17" i="93"/>
  <c r="H16" i="94"/>
  <c r="H17" i="93"/>
  <c r="F16" i="94"/>
  <c r="F17" i="93"/>
  <c r="E16" i="94"/>
  <c r="E18" i="94"/>
  <c r="D16" i="94"/>
  <c r="D18" i="94"/>
  <c r="C16" i="94"/>
  <c r="C18" i="94"/>
  <c r="O14" i="94"/>
  <c r="O13" i="94"/>
  <c r="O12" i="94"/>
  <c r="O11" i="94"/>
  <c r="O10" i="94"/>
  <c r="O9" i="94"/>
  <c r="O8" i="94"/>
  <c r="O7" i="94"/>
  <c r="O6" i="94"/>
  <c r="O5" i="94"/>
  <c r="O4" i="94"/>
  <c r="M17" i="93"/>
  <c r="L17" i="93"/>
  <c r="K17" i="93"/>
  <c r="G17" i="93"/>
  <c r="E17" i="93"/>
  <c r="D17" i="93"/>
  <c r="C17" i="93"/>
  <c r="C16" i="93"/>
  <c r="C18" i="93"/>
  <c r="N16" i="93"/>
  <c r="M16" i="93"/>
  <c r="M17" i="92"/>
  <c r="L16" i="93"/>
  <c r="L18" i="93"/>
  <c r="K16" i="93"/>
  <c r="K18" i="93"/>
  <c r="J16" i="93"/>
  <c r="I16" i="93"/>
  <c r="I18" i="93"/>
  <c r="H16" i="93"/>
  <c r="G16" i="93"/>
  <c r="G17" i="92"/>
  <c r="F16" i="93"/>
  <c r="F18" i="93"/>
  <c r="E16" i="93"/>
  <c r="E17" i="92"/>
  <c r="D16" i="93"/>
  <c r="D18" i="93"/>
  <c r="O14" i="93"/>
  <c r="O13" i="93"/>
  <c r="O12" i="93"/>
  <c r="O11" i="93"/>
  <c r="O10" i="93"/>
  <c r="O9" i="93"/>
  <c r="O8" i="93"/>
  <c r="O7" i="93"/>
  <c r="O6" i="93"/>
  <c r="O5" i="93"/>
  <c r="O4" i="93"/>
  <c r="N17" i="92"/>
  <c r="L17" i="92"/>
  <c r="K17" i="92"/>
  <c r="J17" i="92"/>
  <c r="F17" i="92"/>
  <c r="D17" i="92"/>
  <c r="C17" i="92"/>
  <c r="N16" i="92"/>
  <c r="N17" i="91"/>
  <c r="M16" i="92"/>
  <c r="L16" i="92"/>
  <c r="L17" i="91"/>
  <c r="K16" i="92"/>
  <c r="K18" i="92"/>
  <c r="J16" i="92"/>
  <c r="I16" i="92"/>
  <c r="H16" i="92"/>
  <c r="G16" i="92"/>
  <c r="G18" i="92"/>
  <c r="F16" i="92"/>
  <c r="F17" i="91"/>
  <c r="E16" i="92"/>
  <c r="E17" i="91"/>
  <c r="D16" i="92"/>
  <c r="D17" i="91"/>
  <c r="C16" i="92"/>
  <c r="C18" i="92"/>
  <c r="O14" i="92"/>
  <c r="O13" i="92"/>
  <c r="O12" i="92"/>
  <c r="O11" i="92"/>
  <c r="O10" i="92"/>
  <c r="O9" i="92"/>
  <c r="O8" i="92"/>
  <c r="O7" i="92"/>
  <c r="O6" i="92"/>
  <c r="O5" i="92"/>
  <c r="O4" i="92"/>
  <c r="M17" i="91"/>
  <c r="K17" i="91"/>
  <c r="I17" i="91"/>
  <c r="C17" i="91"/>
  <c r="N16" i="91"/>
  <c r="N18" i="91"/>
  <c r="M16" i="91"/>
  <c r="M17" i="90"/>
  <c r="M16" i="90"/>
  <c r="M18" i="90"/>
  <c r="L16" i="91"/>
  <c r="L18" i="91"/>
  <c r="K16" i="91"/>
  <c r="K17" i="90"/>
  <c r="J16" i="91"/>
  <c r="I16" i="91"/>
  <c r="H16" i="91"/>
  <c r="G16" i="91"/>
  <c r="F16" i="91"/>
  <c r="F18" i="91"/>
  <c r="E16" i="91"/>
  <c r="E17" i="90"/>
  <c r="E16" i="90"/>
  <c r="E18" i="90"/>
  <c r="D16" i="91"/>
  <c r="C16" i="91"/>
  <c r="C17" i="90"/>
  <c r="O14" i="91"/>
  <c r="O13" i="91"/>
  <c r="O12" i="91"/>
  <c r="O11" i="91"/>
  <c r="O10" i="91"/>
  <c r="O9" i="91"/>
  <c r="O8" i="91"/>
  <c r="O7" i="91"/>
  <c r="O6" i="91"/>
  <c r="O5" i="91"/>
  <c r="O4" i="91"/>
  <c r="L17" i="90"/>
  <c r="J17" i="90"/>
  <c r="H17" i="90"/>
  <c r="N16" i="90"/>
  <c r="L16" i="90"/>
  <c r="L17" i="89"/>
  <c r="K16" i="90"/>
  <c r="J16" i="90"/>
  <c r="J17" i="89"/>
  <c r="I16" i="90"/>
  <c r="H16" i="90"/>
  <c r="H18" i="90"/>
  <c r="G16" i="90"/>
  <c r="G17" i="89"/>
  <c r="G16" i="89"/>
  <c r="G18" i="89"/>
  <c r="F16" i="90"/>
  <c r="D16" i="90"/>
  <c r="D17" i="89"/>
  <c r="D16" i="89"/>
  <c r="D18" i="89"/>
  <c r="C16" i="90"/>
  <c r="C18" i="90"/>
  <c r="O14" i="90"/>
  <c r="O13" i="90"/>
  <c r="O12" i="90"/>
  <c r="O11" i="90"/>
  <c r="O10" i="90"/>
  <c r="O9" i="90"/>
  <c r="O8" i="90"/>
  <c r="O7" i="90"/>
  <c r="O6" i="90"/>
  <c r="O5" i="90"/>
  <c r="O4" i="90"/>
  <c r="I17" i="89"/>
  <c r="H17" i="89"/>
  <c r="C17" i="89"/>
  <c r="N16" i="89"/>
  <c r="M16" i="89"/>
  <c r="M17" i="88"/>
  <c r="M16" i="88"/>
  <c r="M18" i="88"/>
  <c r="L16" i="89"/>
  <c r="L17" i="88"/>
  <c r="L16" i="88"/>
  <c r="L18" i="88"/>
  <c r="K16" i="89"/>
  <c r="K17" i="88"/>
  <c r="J16" i="89"/>
  <c r="I16" i="89"/>
  <c r="I17" i="88"/>
  <c r="H16" i="89"/>
  <c r="F16" i="89"/>
  <c r="E16" i="89"/>
  <c r="C16" i="89"/>
  <c r="C17" i="88"/>
  <c r="O14" i="89"/>
  <c r="O13" i="89"/>
  <c r="O12" i="89"/>
  <c r="O11" i="89"/>
  <c r="O10" i="89"/>
  <c r="O9" i="89"/>
  <c r="O8" i="89"/>
  <c r="O7" i="89"/>
  <c r="O6" i="89"/>
  <c r="O5" i="89"/>
  <c r="O4" i="89"/>
  <c r="N17" i="88"/>
  <c r="J17" i="88"/>
  <c r="G17" i="88"/>
  <c r="G16" i="88"/>
  <c r="G18" i="88"/>
  <c r="F17" i="88"/>
  <c r="N16" i="88"/>
  <c r="N18" i="88"/>
  <c r="K16" i="88"/>
  <c r="K18" i="88"/>
  <c r="J16" i="88"/>
  <c r="J17" i="87"/>
  <c r="J16" i="87"/>
  <c r="J18" i="87"/>
  <c r="I16" i="88"/>
  <c r="I18" i="88"/>
  <c r="H16" i="88"/>
  <c r="H17" i="87"/>
  <c r="H16" i="87"/>
  <c r="H18" i="87"/>
  <c r="F16" i="88"/>
  <c r="E16" i="88"/>
  <c r="D16" i="88"/>
  <c r="C16" i="88"/>
  <c r="O14" i="88"/>
  <c r="O13" i="88"/>
  <c r="O12" i="88"/>
  <c r="O11" i="88"/>
  <c r="O10" i="88"/>
  <c r="O9" i="88"/>
  <c r="O8" i="88"/>
  <c r="O7" i="88"/>
  <c r="O6" i="88"/>
  <c r="O5" i="88"/>
  <c r="O4" i="88"/>
  <c r="N17" i="87"/>
  <c r="M17" i="87"/>
  <c r="I17" i="87"/>
  <c r="G17" i="87"/>
  <c r="E17" i="87"/>
  <c r="N16" i="87"/>
  <c r="N18" i="87"/>
  <c r="M16" i="87"/>
  <c r="M18" i="87"/>
  <c r="L16" i="87"/>
  <c r="K16" i="87"/>
  <c r="I16" i="87"/>
  <c r="I17" i="86"/>
  <c r="I16" i="86"/>
  <c r="I18" i="86"/>
  <c r="G16" i="87"/>
  <c r="G17" i="86"/>
  <c r="F16" i="87"/>
  <c r="E16" i="87"/>
  <c r="E18" i="87"/>
  <c r="D16" i="87"/>
  <c r="D17" i="86"/>
  <c r="C16" i="87"/>
  <c r="O14" i="87"/>
  <c r="O13" i="87"/>
  <c r="O12" i="87"/>
  <c r="O11" i="87"/>
  <c r="O10" i="87"/>
  <c r="O9" i="87"/>
  <c r="O8" i="87"/>
  <c r="O7" i="87"/>
  <c r="O6" i="87"/>
  <c r="O5" i="87"/>
  <c r="O4" i="87"/>
  <c r="N17" i="86"/>
  <c r="M17" i="86"/>
  <c r="L17" i="86"/>
  <c r="H17" i="86"/>
  <c r="H16" i="86"/>
  <c r="H18" i="86"/>
  <c r="F17" i="86"/>
  <c r="E17" i="86"/>
  <c r="N16" i="86"/>
  <c r="N17" i="85"/>
  <c r="M16" i="86"/>
  <c r="M18" i="86"/>
  <c r="L16" i="86"/>
  <c r="K16" i="86"/>
  <c r="J16" i="86"/>
  <c r="H17" i="85"/>
  <c r="H18" i="85"/>
  <c r="G16" i="86"/>
  <c r="G18" i="86"/>
  <c r="F16" i="86"/>
  <c r="F17" i="85"/>
  <c r="F18" i="85"/>
  <c r="E16" i="86"/>
  <c r="E18" i="86"/>
  <c r="D16" i="86"/>
  <c r="C16" i="86"/>
  <c r="O14" i="86"/>
  <c r="O13" i="86"/>
  <c r="O12" i="86"/>
  <c r="O11" i="86"/>
  <c r="O10" i="86"/>
  <c r="O9" i="86"/>
  <c r="O8" i="86"/>
  <c r="O7" i="86"/>
  <c r="O6" i="86"/>
  <c r="O5" i="86"/>
  <c r="O4" i="86"/>
  <c r="M17" i="85"/>
  <c r="K17" i="85"/>
  <c r="G17" i="85"/>
  <c r="E17" i="85"/>
  <c r="D17" i="85"/>
  <c r="D18" i="85"/>
  <c r="C17" i="85"/>
  <c r="K18" i="85"/>
  <c r="E18" i="85"/>
  <c r="C16" i="85"/>
  <c r="C18" i="85"/>
  <c r="N14" i="85"/>
  <c r="N16" i="85"/>
  <c r="N17" i="84"/>
  <c r="M14" i="85"/>
  <c r="M16" i="85"/>
  <c r="L14" i="85"/>
  <c r="L16" i="85"/>
  <c r="O13" i="85"/>
  <c r="O12" i="85"/>
  <c r="O11" i="85"/>
  <c r="O10" i="85"/>
  <c r="O9" i="85"/>
  <c r="O8" i="85"/>
  <c r="O7" i="85"/>
  <c r="O6" i="85"/>
  <c r="O5" i="85"/>
  <c r="O4" i="85"/>
  <c r="C17" i="84"/>
  <c r="O10" i="84"/>
  <c r="Q10" i="84"/>
  <c r="O7" i="84"/>
  <c r="Q7" i="84"/>
  <c r="O6" i="84"/>
  <c r="Q6" i="84"/>
  <c r="O5" i="84"/>
  <c r="Q5" i="84"/>
  <c r="E17" i="89"/>
  <c r="E18" i="89"/>
  <c r="N17" i="89"/>
  <c r="N18" i="89"/>
  <c r="N18" i="85"/>
  <c r="J17" i="85"/>
  <c r="K17" i="87"/>
  <c r="K18" i="87"/>
  <c r="J18" i="89"/>
  <c r="F17" i="90"/>
  <c r="F18" i="90"/>
  <c r="N17" i="90"/>
  <c r="N18" i="90"/>
  <c r="E18" i="92"/>
  <c r="M18" i="92"/>
  <c r="J17" i="86"/>
  <c r="J18" i="86"/>
  <c r="H18" i="93"/>
  <c r="M18" i="91"/>
  <c r="N18" i="92"/>
  <c r="L18" i="89"/>
  <c r="I18" i="94"/>
  <c r="I17" i="85"/>
  <c r="I18" i="85"/>
  <c r="F18" i="86"/>
  <c r="N18" i="86"/>
  <c r="C17" i="87"/>
  <c r="C18" i="87"/>
  <c r="G18" i="87"/>
  <c r="D17" i="88"/>
  <c r="D18" i="88"/>
  <c r="M17" i="89"/>
  <c r="I18" i="89"/>
  <c r="J18" i="90"/>
  <c r="G17" i="91"/>
  <c r="G18" i="91"/>
  <c r="C18" i="91"/>
  <c r="K18" i="91"/>
  <c r="H17" i="92"/>
  <c r="H18" i="92"/>
  <c r="D18" i="92"/>
  <c r="L18" i="92"/>
  <c r="E18" i="93"/>
  <c r="M18" i="93"/>
  <c r="F18" i="94"/>
  <c r="C17" i="86"/>
  <c r="C18" i="86"/>
  <c r="K17" i="86"/>
  <c r="K18" i="86"/>
  <c r="D17" i="87"/>
  <c r="L17" i="87"/>
  <c r="L18" i="87"/>
  <c r="E17" i="88"/>
  <c r="E18" i="88"/>
  <c r="F17" i="89"/>
  <c r="F18" i="89"/>
  <c r="G17" i="90"/>
  <c r="G18" i="90"/>
  <c r="H17" i="91"/>
  <c r="H18" i="91"/>
  <c r="I17" i="92"/>
  <c r="I18" i="92"/>
  <c r="J17" i="93"/>
  <c r="J18" i="93"/>
  <c r="I18" i="87"/>
  <c r="L18" i="90"/>
  <c r="G18" i="93"/>
  <c r="O14" i="85"/>
  <c r="H18" i="94"/>
  <c r="O4" i="84"/>
  <c r="Q4" i="84"/>
  <c r="O8" i="84"/>
  <c r="Q8" i="84"/>
  <c r="G18" i="85"/>
  <c r="E18" i="91"/>
  <c r="F18" i="92"/>
  <c r="M19" i="83"/>
  <c r="L19" i="83"/>
  <c r="K19" i="83"/>
  <c r="J19" i="83"/>
  <c r="I19" i="83"/>
  <c r="H19" i="83"/>
  <c r="G19" i="83"/>
  <c r="F19" i="83"/>
  <c r="B19" i="83"/>
  <c r="C19" i="83"/>
  <c r="D19" i="83"/>
  <c r="E19" i="83"/>
  <c r="O19" i="82"/>
  <c r="N17" i="83"/>
  <c r="N16" i="83"/>
  <c r="N15" i="83"/>
  <c r="N14" i="83"/>
  <c r="N13" i="83"/>
  <c r="N12" i="83"/>
  <c r="N11" i="83"/>
  <c r="N10" i="83"/>
  <c r="N9" i="83"/>
  <c r="N8" i="83"/>
  <c r="N7" i="83"/>
  <c r="N6" i="83"/>
  <c r="N4" i="83"/>
  <c r="N5" i="83"/>
  <c r="N19" i="83"/>
  <c r="M19" i="82"/>
  <c r="M20" i="82"/>
  <c r="L19" i="82"/>
  <c r="L20" i="82"/>
  <c r="K19" i="82"/>
  <c r="K20" i="82"/>
  <c r="F19" i="82"/>
  <c r="F20" i="82"/>
  <c r="E19" i="82"/>
  <c r="E20" i="82"/>
  <c r="D19" i="82"/>
  <c r="B19" i="82"/>
  <c r="C19" i="82"/>
  <c r="G19" i="82"/>
  <c r="H19" i="82"/>
  <c r="I19" i="82"/>
  <c r="J19" i="82"/>
  <c r="O20" i="81"/>
  <c r="D20" i="82"/>
  <c r="C20" i="82"/>
  <c r="L20" i="81"/>
  <c r="L21" i="81"/>
  <c r="K20" i="81"/>
  <c r="K21" i="81"/>
  <c r="J20" i="81"/>
  <c r="J21" i="81"/>
  <c r="J20" i="82"/>
  <c r="I20" i="82"/>
  <c r="H20" i="82"/>
  <c r="G20" i="82"/>
  <c r="D20" i="81"/>
  <c r="D20" i="80"/>
  <c r="D21" i="80"/>
  <c r="D21" i="81"/>
  <c r="C20" i="81"/>
  <c r="C21" i="81"/>
  <c r="B20" i="81"/>
  <c r="B21" i="81"/>
  <c r="N17" i="82"/>
  <c r="O17" i="82"/>
  <c r="P17" i="82"/>
  <c r="O16" i="82"/>
  <c r="N16" i="82"/>
  <c r="P16" i="82"/>
  <c r="O15" i="82"/>
  <c r="N15" i="82"/>
  <c r="P15" i="82"/>
  <c r="N14" i="82"/>
  <c r="O14" i="82"/>
  <c r="O13" i="82"/>
  <c r="N13" i="82"/>
  <c r="P13" i="82"/>
  <c r="N12" i="82"/>
  <c r="O12" i="82"/>
  <c r="P12" i="82"/>
  <c r="O11" i="82"/>
  <c r="N11" i="82"/>
  <c r="O10" i="82"/>
  <c r="N10" i="82"/>
  <c r="P10" i="82"/>
  <c r="N9" i="82"/>
  <c r="O9" i="82"/>
  <c r="P9" i="82"/>
  <c r="O8" i="82"/>
  <c r="N8" i="82"/>
  <c r="P8" i="82"/>
  <c r="O7" i="82"/>
  <c r="N7" i="82"/>
  <c r="P7" i="82"/>
  <c r="N6" i="82"/>
  <c r="O6" i="82"/>
  <c r="P6" i="82"/>
  <c r="O5" i="82"/>
  <c r="N5" i="82"/>
  <c r="P5" i="82"/>
  <c r="N4" i="82"/>
  <c r="O4" i="82"/>
  <c r="P4" i="82"/>
  <c r="N19" i="82"/>
  <c r="I20" i="81"/>
  <c r="I21" i="81"/>
  <c r="M20" i="81"/>
  <c r="M21" i="81"/>
  <c r="H20" i="81"/>
  <c r="H21" i="81"/>
  <c r="G20" i="81"/>
  <c r="F20" i="81"/>
  <c r="F21" i="81"/>
  <c r="E20" i="81"/>
  <c r="E21" i="81"/>
  <c r="O19" i="81"/>
  <c r="N18" i="81"/>
  <c r="O18" i="81"/>
  <c r="P18" i="81"/>
  <c r="N17" i="81"/>
  <c r="O16" i="81"/>
  <c r="N16" i="81"/>
  <c r="P16" i="81"/>
  <c r="O15" i="81"/>
  <c r="N15" i="81"/>
  <c r="P15" i="81"/>
  <c r="N14" i="81"/>
  <c r="O14" i="81"/>
  <c r="P14" i="81"/>
  <c r="O13" i="81"/>
  <c r="N13" i="81"/>
  <c r="P13" i="81"/>
  <c r="N12" i="81"/>
  <c r="O12" i="81"/>
  <c r="P12" i="81"/>
  <c r="O11" i="81"/>
  <c r="N11" i="81"/>
  <c r="P11" i="81"/>
  <c r="O10" i="81"/>
  <c r="N10" i="81"/>
  <c r="P10" i="81"/>
  <c r="N9" i="81"/>
  <c r="O9" i="81"/>
  <c r="P9" i="81"/>
  <c r="O8" i="81"/>
  <c r="N8" i="81"/>
  <c r="P8" i="81"/>
  <c r="O7" i="81"/>
  <c r="N7" i="81"/>
  <c r="P7" i="81"/>
  <c r="N6" i="81"/>
  <c r="O6" i="81"/>
  <c r="P6" i="81"/>
  <c r="O5" i="81"/>
  <c r="N5" i="81"/>
  <c r="P5" i="81"/>
  <c r="N4" i="81"/>
  <c r="O4" i="81"/>
  <c r="L20" i="80"/>
  <c r="L21" i="80"/>
  <c r="K20" i="80"/>
  <c r="K21" i="80"/>
  <c r="J20" i="80"/>
  <c r="J21" i="80"/>
  <c r="I20" i="80"/>
  <c r="I21" i="80"/>
  <c r="C20" i="80"/>
  <c r="C21" i="80"/>
  <c r="B20" i="80"/>
  <c r="M20" i="80"/>
  <c r="M21" i="80"/>
  <c r="H20" i="80"/>
  <c r="H21" i="80"/>
  <c r="G20" i="80"/>
  <c r="F20" i="80"/>
  <c r="F21" i="80"/>
  <c r="E20" i="80"/>
  <c r="E21" i="80"/>
  <c r="O19" i="80"/>
  <c r="N18" i="80"/>
  <c r="O18" i="80"/>
  <c r="P18" i="80"/>
  <c r="O17" i="80"/>
  <c r="N17" i="80"/>
  <c r="P17" i="80"/>
  <c r="O16" i="80"/>
  <c r="N16" i="80"/>
  <c r="P16" i="80"/>
  <c r="N15" i="80"/>
  <c r="O15" i="80"/>
  <c r="P15" i="80"/>
  <c r="O14" i="80"/>
  <c r="N14" i="80"/>
  <c r="P14" i="80"/>
  <c r="O13" i="80"/>
  <c r="N13" i="80"/>
  <c r="P13" i="80"/>
  <c r="N12" i="80"/>
  <c r="O12" i="80"/>
  <c r="P12" i="80"/>
  <c r="O11" i="80"/>
  <c r="N11" i="80"/>
  <c r="P11" i="80"/>
  <c r="N10" i="80"/>
  <c r="O10" i="80"/>
  <c r="P10" i="80"/>
  <c r="O9" i="80"/>
  <c r="N9" i="80"/>
  <c r="P9" i="80"/>
  <c r="O8" i="80"/>
  <c r="N8" i="80"/>
  <c r="P8" i="80"/>
  <c r="N7" i="80"/>
  <c r="O7" i="80"/>
  <c r="P7" i="80"/>
  <c r="O6" i="80"/>
  <c r="N6" i="80"/>
  <c r="P6" i="80"/>
  <c r="O5" i="80"/>
  <c r="N5" i="80"/>
  <c r="P5" i="80"/>
  <c r="N4" i="80"/>
  <c r="O4" i="80"/>
  <c r="M21" i="79"/>
  <c r="M22" i="79"/>
  <c r="L21" i="79"/>
  <c r="L22" i="79"/>
  <c r="K21" i="79"/>
  <c r="K22" i="79"/>
  <c r="F21" i="79"/>
  <c r="F22" i="79"/>
  <c r="E21" i="79"/>
  <c r="E22" i="79"/>
  <c r="D21" i="79"/>
  <c r="D22" i="79"/>
  <c r="C21" i="79"/>
  <c r="J21" i="79"/>
  <c r="J22" i="79"/>
  <c r="I21" i="79"/>
  <c r="I22" i="79"/>
  <c r="H21" i="79"/>
  <c r="H22" i="79"/>
  <c r="G21" i="79"/>
  <c r="G22" i="79"/>
  <c r="B21" i="79"/>
  <c r="O20" i="79"/>
  <c r="N19" i="79"/>
  <c r="O19" i="79"/>
  <c r="P19" i="79"/>
  <c r="O18" i="79"/>
  <c r="N18" i="79"/>
  <c r="P18" i="79"/>
  <c r="N17" i="79"/>
  <c r="N16" i="79"/>
  <c r="O16" i="79"/>
  <c r="P16" i="79"/>
  <c r="O15" i="79"/>
  <c r="N15" i="79"/>
  <c r="P15" i="79"/>
  <c r="O14" i="79"/>
  <c r="N14" i="79"/>
  <c r="P14" i="79"/>
  <c r="N13" i="79"/>
  <c r="O13" i="79"/>
  <c r="P13" i="79"/>
  <c r="O12" i="79"/>
  <c r="N12" i="79"/>
  <c r="P12" i="79"/>
  <c r="N11" i="79"/>
  <c r="O11" i="79"/>
  <c r="P11" i="79"/>
  <c r="O10" i="79"/>
  <c r="N10" i="79"/>
  <c r="P10" i="79"/>
  <c r="O9" i="79"/>
  <c r="N9" i="79"/>
  <c r="P9" i="79"/>
  <c r="N8" i="79"/>
  <c r="O8" i="79"/>
  <c r="P8" i="79"/>
  <c r="O7" i="79"/>
  <c r="N7" i="79"/>
  <c r="P7" i="79"/>
  <c r="O6" i="79"/>
  <c r="N6" i="79"/>
  <c r="N5" i="79"/>
  <c r="O5" i="79"/>
  <c r="P5" i="79"/>
  <c r="O4" i="79"/>
  <c r="N4" i="79"/>
  <c r="P4" i="79"/>
  <c r="I21" i="78"/>
  <c r="I22" i="78"/>
  <c r="H21" i="78"/>
  <c r="H22" i="78"/>
  <c r="G21" i="78"/>
  <c r="F21" i="78"/>
  <c r="F22" i="78"/>
  <c r="M21" i="78"/>
  <c r="M22" i="78"/>
  <c r="L21" i="78"/>
  <c r="L22" i="78"/>
  <c r="K21" i="78"/>
  <c r="K22" i="78"/>
  <c r="J21" i="78"/>
  <c r="J22" i="78"/>
  <c r="E21" i="78"/>
  <c r="E22" i="78"/>
  <c r="D21" i="78"/>
  <c r="D22" i="78"/>
  <c r="C21" i="78"/>
  <c r="C22" i="78"/>
  <c r="B21" i="78"/>
  <c r="B22" i="78"/>
  <c r="O20" i="78"/>
  <c r="O19" i="78"/>
  <c r="N19" i="78"/>
  <c r="P19" i="78"/>
  <c r="N18" i="78"/>
  <c r="P18" i="78"/>
  <c r="O17" i="78"/>
  <c r="N17" i="78"/>
  <c r="O16" i="78"/>
  <c r="N16" i="78"/>
  <c r="P16" i="78"/>
  <c r="O15" i="78"/>
  <c r="N15" i="78"/>
  <c r="P15" i="78"/>
  <c r="N14" i="78"/>
  <c r="O14" i="78"/>
  <c r="P14" i="78"/>
  <c r="O13" i="78"/>
  <c r="N13" i="78"/>
  <c r="P13" i="78"/>
  <c r="N12" i="78"/>
  <c r="O12" i="78"/>
  <c r="O11" i="78"/>
  <c r="N11" i="78"/>
  <c r="P11" i="78"/>
  <c r="O10" i="78"/>
  <c r="N10" i="78"/>
  <c r="P10" i="78"/>
  <c r="N9" i="78"/>
  <c r="O9" i="78"/>
  <c r="P9" i="78"/>
  <c r="O8" i="78"/>
  <c r="N8" i="78"/>
  <c r="P8" i="78"/>
  <c r="O7" i="78"/>
  <c r="N7" i="78"/>
  <c r="P7" i="78"/>
  <c r="N6" i="78"/>
  <c r="O6" i="78"/>
  <c r="P6" i="78"/>
  <c r="O5" i="78"/>
  <c r="N5" i="78"/>
  <c r="P5" i="78"/>
  <c r="N4" i="78"/>
  <c r="O4" i="78"/>
  <c r="K21" i="77"/>
  <c r="K22" i="77"/>
  <c r="J21" i="77"/>
  <c r="J22" i="77"/>
  <c r="I21" i="77"/>
  <c r="I22" i="77"/>
  <c r="H21" i="77"/>
  <c r="H22" i="77"/>
  <c r="C21" i="77"/>
  <c r="C22" i="77"/>
  <c r="B21" i="77"/>
  <c r="B22" i="77"/>
  <c r="M21" i="77"/>
  <c r="M22" i="77"/>
  <c r="L21" i="77"/>
  <c r="L22" i="77"/>
  <c r="G21" i="77"/>
  <c r="G22" i="77"/>
  <c r="F21" i="77"/>
  <c r="F22" i="77"/>
  <c r="E21" i="77"/>
  <c r="E22" i="77"/>
  <c r="D21" i="77"/>
  <c r="D22" i="77"/>
  <c r="O20" i="77"/>
  <c r="N20" i="77"/>
  <c r="P20" i="77"/>
  <c r="O19" i="77"/>
  <c r="N19" i="77"/>
  <c r="O18" i="77"/>
  <c r="N18" i="77"/>
  <c r="P18" i="77"/>
  <c r="O17" i="77"/>
  <c r="N17" i="77"/>
  <c r="P17" i="77"/>
  <c r="N16" i="77"/>
  <c r="O16" i="77"/>
  <c r="P16" i="77"/>
  <c r="O15" i="77"/>
  <c r="N15" i="77"/>
  <c r="P15" i="77"/>
  <c r="O14" i="77"/>
  <c r="N14" i="77"/>
  <c r="P14" i="77"/>
  <c r="N13" i="77"/>
  <c r="O13" i="77"/>
  <c r="P13" i="77"/>
  <c r="O12" i="77"/>
  <c r="N12" i="77"/>
  <c r="P12" i="77"/>
  <c r="N11" i="77"/>
  <c r="O11" i="77"/>
  <c r="P11" i="77"/>
  <c r="N10" i="77"/>
  <c r="O9" i="77"/>
  <c r="N9" i="77"/>
  <c r="O8" i="77"/>
  <c r="O4" i="77"/>
  <c r="O5" i="77"/>
  <c r="O7" i="77"/>
  <c r="N8" i="77"/>
  <c r="N7" i="77"/>
  <c r="P7" i="77"/>
  <c r="N6" i="77"/>
  <c r="N5" i="77"/>
  <c r="P5" i="77"/>
  <c r="N4" i="77"/>
  <c r="P4" i="77"/>
  <c r="L22" i="76"/>
  <c r="L23" i="76"/>
  <c r="K22" i="76"/>
  <c r="K23" i="76"/>
  <c r="J22" i="76"/>
  <c r="J23" i="76"/>
  <c r="I22" i="76"/>
  <c r="I23" i="76"/>
  <c r="D22" i="76"/>
  <c r="D23" i="76"/>
  <c r="C22" i="76"/>
  <c r="C23" i="76"/>
  <c r="B22" i="76"/>
  <c r="B23" i="76"/>
  <c r="M22" i="76"/>
  <c r="M23" i="76"/>
  <c r="H22" i="76"/>
  <c r="H20" i="75"/>
  <c r="G22" i="76"/>
  <c r="G23" i="76"/>
  <c r="F22" i="76"/>
  <c r="F23" i="76"/>
  <c r="E22" i="76"/>
  <c r="E23" i="76"/>
  <c r="O21" i="76"/>
  <c r="N21" i="76"/>
  <c r="P21" i="76"/>
  <c r="N20" i="76"/>
  <c r="O20" i="76"/>
  <c r="P20" i="76"/>
  <c r="O19" i="76"/>
  <c r="N19" i="76"/>
  <c r="P19" i="76"/>
  <c r="N18" i="76"/>
  <c r="N17" i="76"/>
  <c r="O17" i="76"/>
  <c r="P17" i="76"/>
  <c r="O16" i="76"/>
  <c r="O15" i="76"/>
  <c r="N15" i="76"/>
  <c r="P15" i="76"/>
  <c r="N14" i="76"/>
  <c r="O14" i="76"/>
  <c r="P14" i="76"/>
  <c r="O13" i="76"/>
  <c r="N13" i="76"/>
  <c r="P13" i="76"/>
  <c r="O12" i="76"/>
  <c r="N12" i="76"/>
  <c r="N11" i="76"/>
  <c r="O11" i="76"/>
  <c r="P11" i="76"/>
  <c r="O10" i="76"/>
  <c r="N10" i="76"/>
  <c r="O9" i="76"/>
  <c r="O4" i="76"/>
  <c r="O5" i="76"/>
  <c r="O6" i="76"/>
  <c r="O7" i="76"/>
  <c r="O8" i="76"/>
  <c r="O22" i="76"/>
  <c r="N9" i="76"/>
  <c r="N8" i="76"/>
  <c r="P8" i="76"/>
  <c r="N7" i="76"/>
  <c r="P7" i="76"/>
  <c r="N6" i="76"/>
  <c r="P6" i="76"/>
  <c r="N5" i="76"/>
  <c r="P5" i="76"/>
  <c r="N4" i="76"/>
  <c r="P4" i="76"/>
  <c r="M20" i="75"/>
  <c r="M21" i="75"/>
  <c r="G20" i="75"/>
  <c r="G21" i="75"/>
  <c r="F20" i="75"/>
  <c r="F21" i="75"/>
  <c r="E20" i="75"/>
  <c r="E21" i="75"/>
  <c r="L20" i="75"/>
  <c r="K20" i="75"/>
  <c r="K21" i="75"/>
  <c r="J20" i="75"/>
  <c r="J21" i="75"/>
  <c r="I20" i="75"/>
  <c r="I21" i="75"/>
  <c r="D20" i="75"/>
  <c r="C20" i="75"/>
  <c r="C21" i="75"/>
  <c r="B20" i="75"/>
  <c r="B21" i="75"/>
  <c r="O19" i="75"/>
  <c r="N19" i="75"/>
  <c r="P19" i="75"/>
  <c r="O18" i="75"/>
  <c r="N18" i="75"/>
  <c r="P18" i="75"/>
  <c r="N17" i="75"/>
  <c r="O17" i="75"/>
  <c r="P17" i="75"/>
  <c r="O16" i="75"/>
  <c r="N16" i="75"/>
  <c r="P16" i="75"/>
  <c r="O15" i="75"/>
  <c r="N15" i="75"/>
  <c r="N14" i="75"/>
  <c r="O14" i="75"/>
  <c r="P14" i="75"/>
  <c r="O13" i="75"/>
  <c r="N13" i="75"/>
  <c r="P13" i="75"/>
  <c r="O12" i="75"/>
  <c r="N12" i="75"/>
  <c r="P12" i="75"/>
  <c r="N11" i="75"/>
  <c r="O11" i="75"/>
  <c r="P11" i="75"/>
  <c r="O10" i="75"/>
  <c r="N10" i="75"/>
  <c r="P10" i="75"/>
  <c r="N9" i="75"/>
  <c r="O9" i="75"/>
  <c r="P9" i="75"/>
  <c r="O4" i="75"/>
  <c r="O5" i="75"/>
  <c r="O6" i="75"/>
  <c r="O7" i="75"/>
  <c r="O8" i="75"/>
  <c r="O20" i="75"/>
  <c r="N8" i="75"/>
  <c r="P8" i="75"/>
  <c r="N7" i="75"/>
  <c r="P7" i="75"/>
  <c r="N6" i="75"/>
  <c r="P6" i="75"/>
  <c r="N5" i="75"/>
  <c r="N4" i="75"/>
  <c r="N20" i="75"/>
  <c r="J20" i="74"/>
  <c r="J21" i="74"/>
  <c r="I20" i="74"/>
  <c r="I21" i="74"/>
  <c r="H20" i="74"/>
  <c r="H21" i="74"/>
  <c r="G20" i="74"/>
  <c r="G21" i="74"/>
  <c r="B20" i="74"/>
  <c r="M20" i="74"/>
  <c r="M21" i="74"/>
  <c r="L20" i="74"/>
  <c r="L21" i="74"/>
  <c r="K20" i="74"/>
  <c r="K21" i="74"/>
  <c r="F20" i="74"/>
  <c r="F21" i="74"/>
  <c r="E20" i="74"/>
  <c r="E21" i="74"/>
  <c r="D20" i="74"/>
  <c r="D21" i="74"/>
  <c r="C20" i="74"/>
  <c r="C21" i="74"/>
  <c r="O19" i="74"/>
  <c r="N19" i="74"/>
  <c r="P19" i="74"/>
  <c r="N18" i="74"/>
  <c r="O18" i="74"/>
  <c r="P18" i="74"/>
  <c r="O17" i="74"/>
  <c r="N17" i="74"/>
  <c r="P17" i="74"/>
  <c r="O16" i="74"/>
  <c r="N16" i="74"/>
  <c r="P16" i="74"/>
  <c r="N15" i="74"/>
  <c r="O15" i="74"/>
  <c r="P15" i="74"/>
  <c r="O14" i="74"/>
  <c r="N14" i="74"/>
  <c r="P14" i="74"/>
  <c r="O13" i="74"/>
  <c r="N13" i="74"/>
  <c r="P13" i="74"/>
  <c r="N12" i="74"/>
  <c r="O12" i="74"/>
  <c r="P12" i="74"/>
  <c r="O11" i="74"/>
  <c r="N11" i="74"/>
  <c r="P11" i="74"/>
  <c r="N10" i="74"/>
  <c r="O10" i="74"/>
  <c r="P10" i="74"/>
  <c r="O9" i="74"/>
  <c r="N9" i="74"/>
  <c r="P9" i="74"/>
  <c r="O8" i="74"/>
  <c r="N8" i="74"/>
  <c r="N4" i="74"/>
  <c r="N5" i="74"/>
  <c r="O5" i="74"/>
  <c r="P5" i="74"/>
  <c r="N6" i="74"/>
  <c r="N7" i="74"/>
  <c r="O7" i="74"/>
  <c r="P7" i="74"/>
  <c r="O6" i="74"/>
  <c r="P6" i="74"/>
  <c r="O4" i="74"/>
  <c r="O20" i="74"/>
  <c r="P4" i="74"/>
  <c r="E20" i="73"/>
  <c r="D21" i="73"/>
  <c r="C20" i="73"/>
  <c r="C21" i="73"/>
  <c r="M20" i="73"/>
  <c r="M21" i="73"/>
  <c r="L20" i="73"/>
  <c r="L24" i="72"/>
  <c r="L21" i="73"/>
  <c r="K20" i="73"/>
  <c r="K21" i="73"/>
  <c r="J20" i="73"/>
  <c r="J21" i="73"/>
  <c r="I20" i="73"/>
  <c r="I21" i="73"/>
  <c r="H20" i="73"/>
  <c r="H24" i="72"/>
  <c r="H21" i="73"/>
  <c r="G20" i="73"/>
  <c r="G21" i="73"/>
  <c r="F20" i="73"/>
  <c r="F21" i="73"/>
  <c r="E21" i="73"/>
  <c r="D20" i="73"/>
  <c r="B20" i="73"/>
  <c r="B21" i="73"/>
  <c r="O19" i="73"/>
  <c r="N19" i="73"/>
  <c r="P19" i="73"/>
  <c r="O18" i="73"/>
  <c r="N18" i="73"/>
  <c r="O17" i="73"/>
  <c r="N17" i="73"/>
  <c r="P17" i="73"/>
  <c r="O16" i="73"/>
  <c r="N16" i="73"/>
  <c r="P16" i="73"/>
  <c r="O15" i="73"/>
  <c r="N15" i="73"/>
  <c r="P15" i="73"/>
  <c r="O14" i="73"/>
  <c r="N14" i="73"/>
  <c r="O13" i="73"/>
  <c r="N13" i="73"/>
  <c r="O12" i="73"/>
  <c r="N12" i="73"/>
  <c r="O11" i="73"/>
  <c r="N11" i="73"/>
  <c r="P11" i="73"/>
  <c r="O10" i="73"/>
  <c r="N10" i="73"/>
  <c r="P10" i="73"/>
  <c r="O9" i="73"/>
  <c r="N9" i="73"/>
  <c r="O8" i="73"/>
  <c r="N8" i="73"/>
  <c r="O7" i="73"/>
  <c r="N7" i="73"/>
  <c r="O6" i="73"/>
  <c r="N6" i="73"/>
  <c r="P6" i="73"/>
  <c r="O5" i="73"/>
  <c r="N5" i="73"/>
  <c r="O4" i="73"/>
  <c r="N4" i="73"/>
  <c r="M23" i="72"/>
  <c r="M24" i="72"/>
  <c r="K23" i="72"/>
  <c r="K24" i="72"/>
  <c r="J23" i="72"/>
  <c r="C24" i="72"/>
  <c r="P19" i="72"/>
  <c r="P15" i="72"/>
  <c r="P13" i="72"/>
  <c r="P12" i="72"/>
  <c r="P11" i="72"/>
  <c r="P10" i="72"/>
  <c r="P9" i="72"/>
  <c r="P8" i="72"/>
  <c r="N6" i="72"/>
  <c r="O6" i="72"/>
  <c r="P6" i="72"/>
  <c r="O5" i="72"/>
  <c r="N5" i="72"/>
  <c r="N4" i="72"/>
  <c r="N23" i="72"/>
  <c r="P5" i="72"/>
  <c r="O4" i="72"/>
  <c r="P4" i="72"/>
  <c r="P14" i="71"/>
  <c r="P13" i="71"/>
  <c r="P12" i="71"/>
  <c r="P11" i="71"/>
  <c r="P9" i="71"/>
  <c r="P8" i="71"/>
  <c r="P6" i="71"/>
  <c r="P5" i="71"/>
  <c r="P4" i="71"/>
  <c r="J22" i="71"/>
  <c r="J22" i="101"/>
  <c r="K22" i="71"/>
  <c r="K22" i="101"/>
  <c r="M22" i="71"/>
  <c r="P5" i="73"/>
  <c r="I24" i="72"/>
  <c r="B24" i="72"/>
  <c r="J24" i="72"/>
  <c r="P4" i="73"/>
  <c r="P8" i="73"/>
  <c r="D24" i="72"/>
  <c r="F24" i="72"/>
  <c r="P7" i="73"/>
  <c r="P14" i="73"/>
  <c r="P18" i="73"/>
  <c r="P12" i="73"/>
  <c r="E24" i="72"/>
  <c r="G24" i="72"/>
  <c r="P18" i="71"/>
  <c r="P15" i="71"/>
  <c r="P20" i="72"/>
  <c r="O21" i="71"/>
  <c r="O23" i="72"/>
  <c r="P22" i="72"/>
  <c r="P19" i="71"/>
  <c r="P18" i="72"/>
  <c r="P17" i="71"/>
  <c r="P14" i="72"/>
  <c r="P10" i="71"/>
  <c r="P4" i="75"/>
  <c r="N21" i="71"/>
  <c r="B22" i="79"/>
  <c r="B20" i="82"/>
  <c r="P8" i="74"/>
  <c r="P5" i="75"/>
  <c r="M22" i="70"/>
  <c r="L22" i="70"/>
  <c r="L25" i="69"/>
  <c r="L26" i="69"/>
  <c r="K22" i="70"/>
  <c r="J22" i="70"/>
  <c r="I22" i="70"/>
  <c r="H22" i="70"/>
  <c r="G22" i="70"/>
  <c r="G25" i="69"/>
  <c r="G26" i="69"/>
  <c r="F22" i="70"/>
  <c r="E22" i="70"/>
  <c r="D22" i="70"/>
  <c r="D25" i="69"/>
  <c r="D26" i="69"/>
  <c r="C22" i="70"/>
  <c r="B22" i="70"/>
  <c r="B25" i="69"/>
  <c r="B26" i="69"/>
  <c r="N20" i="70"/>
  <c r="N19" i="70"/>
  <c r="N18" i="70"/>
  <c r="N17" i="70"/>
  <c r="N16" i="70"/>
  <c r="N15" i="70"/>
  <c r="N14" i="70"/>
  <c r="N13" i="70"/>
  <c r="N12" i="70"/>
  <c r="N11" i="70"/>
  <c r="N10" i="70"/>
  <c r="N9" i="70"/>
  <c r="N8" i="70"/>
  <c r="N7" i="70"/>
  <c r="N6" i="70"/>
  <c r="N5" i="70"/>
  <c r="N4" i="70"/>
  <c r="N22" i="70"/>
  <c r="J25" i="69"/>
  <c r="J26" i="69"/>
  <c r="I25" i="69"/>
  <c r="I26" i="69"/>
  <c r="F25" i="69"/>
  <c r="F26" i="69"/>
  <c r="M25" i="69"/>
  <c r="K25" i="69"/>
  <c r="H25" i="69"/>
  <c r="H26" i="69"/>
  <c r="E25" i="69"/>
  <c r="E26" i="69"/>
  <c r="C25" i="69"/>
  <c r="O23" i="69"/>
  <c r="N23" i="69"/>
  <c r="N22" i="69"/>
  <c r="O21" i="69"/>
  <c r="N21" i="69"/>
  <c r="O20" i="69"/>
  <c r="N20" i="69"/>
  <c r="P20" i="69"/>
  <c r="O19" i="69"/>
  <c r="N19" i="69"/>
  <c r="P19" i="69"/>
  <c r="O18" i="69"/>
  <c r="N18" i="69"/>
  <c r="O17" i="69"/>
  <c r="N17" i="69"/>
  <c r="P17" i="69"/>
  <c r="O16" i="69"/>
  <c r="N16" i="69"/>
  <c r="P16" i="69"/>
  <c r="O15" i="69"/>
  <c r="N15" i="69"/>
  <c r="P15" i="69"/>
  <c r="O14" i="69"/>
  <c r="N14" i="69"/>
  <c r="O13" i="69"/>
  <c r="N13" i="69"/>
  <c r="P13" i="69"/>
  <c r="O12" i="69"/>
  <c r="N12" i="69"/>
  <c r="P12" i="69"/>
  <c r="N11" i="69"/>
  <c r="O11" i="69"/>
  <c r="P11" i="69"/>
  <c r="N10" i="69"/>
  <c r="O10" i="69"/>
  <c r="P10" i="69"/>
  <c r="O9" i="69"/>
  <c r="N9" i="69"/>
  <c r="P9" i="69"/>
  <c r="O8" i="69"/>
  <c r="N8" i="69"/>
  <c r="O7" i="69"/>
  <c r="N7" i="69"/>
  <c r="P7" i="69"/>
  <c r="O6" i="69"/>
  <c r="N6" i="69"/>
  <c r="P6" i="69"/>
  <c r="O5" i="69"/>
  <c r="N5" i="69"/>
  <c r="P5" i="69"/>
  <c r="O4" i="69"/>
  <c r="N4" i="69"/>
  <c r="P4" i="69"/>
  <c r="L30" i="68"/>
  <c r="L31" i="68"/>
  <c r="K30" i="68"/>
  <c r="K31" i="68"/>
  <c r="I30" i="68"/>
  <c r="I31" i="68"/>
  <c r="G30" i="68"/>
  <c r="G31" i="68"/>
  <c r="F30" i="68"/>
  <c r="F31" i="68"/>
  <c r="D30" i="68"/>
  <c r="D31" i="68"/>
  <c r="C30" i="68"/>
  <c r="C31" i="68"/>
  <c r="M30" i="68"/>
  <c r="M31" i="68"/>
  <c r="K35" i="67"/>
  <c r="K36" i="67"/>
  <c r="J30" i="68"/>
  <c r="J31" i="68"/>
  <c r="H30" i="68"/>
  <c r="H31" i="68"/>
  <c r="E30" i="68"/>
  <c r="C35" i="67"/>
  <c r="C36" i="67"/>
  <c r="B30" i="68"/>
  <c r="N28" i="68"/>
  <c r="O27" i="68"/>
  <c r="N27" i="68"/>
  <c r="O26" i="68"/>
  <c r="N26" i="68"/>
  <c r="P26" i="68"/>
  <c r="N25" i="68"/>
  <c r="O24" i="68"/>
  <c r="N24" i="68"/>
  <c r="O23" i="68"/>
  <c r="N23" i="68"/>
  <c r="P23" i="68"/>
  <c r="N22" i="68"/>
  <c r="O22" i="68"/>
  <c r="P22" i="68"/>
  <c r="N21" i="68"/>
  <c r="O20" i="68"/>
  <c r="N20" i="68"/>
  <c r="P20" i="68"/>
  <c r="O19" i="68"/>
  <c r="N19" i="68"/>
  <c r="P19" i="68"/>
  <c r="O18" i="68"/>
  <c r="N18" i="68"/>
  <c r="P18" i="68"/>
  <c r="O17" i="68"/>
  <c r="N17" i="68"/>
  <c r="P17" i="68"/>
  <c r="O16" i="68"/>
  <c r="N16" i="68"/>
  <c r="O15" i="68"/>
  <c r="N15" i="68"/>
  <c r="P15" i="68"/>
  <c r="O14" i="68"/>
  <c r="N14" i="68"/>
  <c r="P14" i="68"/>
  <c r="N13" i="68"/>
  <c r="O13" i="68"/>
  <c r="P13" i="68"/>
  <c r="N12" i="68"/>
  <c r="O11" i="68"/>
  <c r="N11" i="68"/>
  <c r="P11" i="68"/>
  <c r="O10" i="68"/>
  <c r="N10" i="68"/>
  <c r="P10" i="68"/>
  <c r="O9" i="68"/>
  <c r="N9" i="68"/>
  <c r="P9" i="68"/>
  <c r="O8" i="68"/>
  <c r="N8" i="68"/>
  <c r="P8" i="68"/>
  <c r="N7" i="68"/>
  <c r="O7" i="68"/>
  <c r="P7" i="68"/>
  <c r="N6" i="68"/>
  <c r="O5" i="68"/>
  <c r="N5" i="68"/>
  <c r="P5" i="68"/>
  <c r="O4" i="68"/>
  <c r="N4" i="68"/>
  <c r="P4" i="68"/>
  <c r="I35" i="67"/>
  <c r="I36" i="67"/>
  <c r="H35" i="67"/>
  <c r="H36" i="67"/>
  <c r="F35" i="67"/>
  <c r="F36" i="67"/>
  <c r="E35" i="67"/>
  <c r="M35" i="67"/>
  <c r="L35" i="67"/>
  <c r="L36" i="67"/>
  <c r="J35" i="67"/>
  <c r="G35" i="67"/>
  <c r="G36" i="67"/>
  <c r="D35" i="67"/>
  <c r="B35" i="67"/>
  <c r="O33" i="67"/>
  <c r="N33" i="67"/>
  <c r="N32" i="67"/>
  <c r="O31" i="67"/>
  <c r="N31" i="67"/>
  <c r="P31" i="67"/>
  <c r="O30" i="67"/>
  <c r="N30" i="67"/>
  <c r="O29" i="67"/>
  <c r="N29" i="67"/>
  <c r="P29" i="67"/>
  <c r="O28" i="67"/>
  <c r="N28" i="67"/>
  <c r="P28" i="67"/>
  <c r="N27" i="67"/>
  <c r="N26" i="67"/>
  <c r="O25" i="67"/>
  <c r="N25" i="67"/>
  <c r="P25" i="67"/>
  <c r="O24" i="67"/>
  <c r="N24" i="67"/>
  <c r="P24" i="67"/>
  <c r="O23" i="67"/>
  <c r="N23" i="67"/>
  <c r="P23" i="67"/>
  <c r="O22" i="67"/>
  <c r="N22" i="67"/>
  <c r="O21" i="67"/>
  <c r="N21" i="67"/>
  <c r="N20" i="67"/>
  <c r="O20" i="67"/>
  <c r="P20" i="67"/>
  <c r="O19" i="67"/>
  <c r="N19" i="67"/>
  <c r="P19" i="67"/>
  <c r="N18" i="67"/>
  <c r="N17" i="67"/>
  <c r="N16" i="67"/>
  <c r="O16" i="67"/>
  <c r="P16" i="67"/>
  <c r="O15" i="67"/>
  <c r="N15" i="67"/>
  <c r="P15" i="67"/>
  <c r="N14" i="67"/>
  <c r="O13" i="67"/>
  <c r="N13" i="67"/>
  <c r="P13" i="67"/>
  <c r="O12" i="67"/>
  <c r="N12" i="67"/>
  <c r="P12" i="67"/>
  <c r="N11" i="67"/>
  <c r="O11" i="67"/>
  <c r="P11" i="67"/>
  <c r="N10" i="67"/>
  <c r="O10" i="67"/>
  <c r="P10" i="67"/>
  <c r="O9" i="67"/>
  <c r="N9" i="67"/>
  <c r="P9" i="67"/>
  <c r="O8" i="67"/>
  <c r="N8" i="67"/>
  <c r="N7" i="67"/>
  <c r="N6" i="67"/>
  <c r="O5" i="67"/>
  <c r="N5" i="67"/>
  <c r="P5" i="67"/>
  <c r="N4" i="67"/>
  <c r="K39" i="66"/>
  <c r="K40" i="66"/>
  <c r="I39" i="66"/>
  <c r="I40" i="66"/>
  <c r="H39" i="66"/>
  <c r="H40" i="66"/>
  <c r="F39" i="66"/>
  <c r="E39" i="66"/>
  <c r="E40" i="66"/>
  <c r="C39" i="66"/>
  <c r="C40" i="66"/>
  <c r="M39" i="66"/>
  <c r="M40" i="66"/>
  <c r="L39" i="66"/>
  <c r="J39" i="66"/>
  <c r="J40" i="66"/>
  <c r="G39" i="66"/>
  <c r="D39" i="66"/>
  <c r="B39" i="66"/>
  <c r="B40" i="66"/>
  <c r="N37" i="66"/>
  <c r="N36" i="66"/>
  <c r="O35" i="66"/>
  <c r="N35" i="66"/>
  <c r="P35" i="66"/>
  <c r="N34" i="66"/>
  <c r="O33" i="66"/>
  <c r="N33" i="66"/>
  <c r="P33" i="66"/>
  <c r="N32" i="66"/>
  <c r="N31" i="66"/>
  <c r="O31" i="66"/>
  <c r="P31" i="66"/>
  <c r="O30" i="66"/>
  <c r="N30" i="66"/>
  <c r="O29" i="66"/>
  <c r="N29" i="66"/>
  <c r="P29" i="66"/>
  <c r="N28" i="66"/>
  <c r="O28" i="66"/>
  <c r="P28" i="66"/>
  <c r="N27" i="66"/>
  <c r="O27" i="66"/>
  <c r="P27" i="66"/>
  <c r="O26" i="66"/>
  <c r="N26" i="66"/>
  <c r="P26" i="66"/>
  <c r="O25" i="66"/>
  <c r="N25" i="66"/>
  <c r="P25" i="66"/>
  <c r="O24" i="66"/>
  <c r="N24" i="66"/>
  <c r="P24" i="66"/>
  <c r="O23" i="66"/>
  <c r="N23" i="66"/>
  <c r="P23" i="66"/>
  <c r="O22" i="66"/>
  <c r="N22" i="66"/>
  <c r="P22" i="66"/>
  <c r="O21" i="66"/>
  <c r="N21" i="66"/>
  <c r="P21" i="66"/>
  <c r="N20" i="66"/>
  <c r="O20" i="66"/>
  <c r="P20" i="66"/>
  <c r="N19" i="66"/>
  <c r="O19" i="66"/>
  <c r="P19" i="66"/>
  <c r="O18" i="66"/>
  <c r="N18" i="66"/>
  <c r="P18" i="66"/>
  <c r="O17" i="66"/>
  <c r="N17" i="66"/>
  <c r="P17" i="66"/>
  <c r="O16" i="66"/>
  <c r="N16" i="66"/>
  <c r="P16" i="66"/>
  <c r="O15" i="66"/>
  <c r="N15" i="66"/>
  <c r="P15" i="66"/>
  <c r="N14" i="66"/>
  <c r="O14" i="66"/>
  <c r="O13" i="66"/>
  <c r="N13" i="66"/>
  <c r="P13" i="66"/>
  <c r="O12" i="66"/>
  <c r="N12" i="66"/>
  <c r="P12" i="66"/>
  <c r="N11" i="66"/>
  <c r="O11" i="66"/>
  <c r="P11" i="66"/>
  <c r="O10" i="66"/>
  <c r="N10" i="66"/>
  <c r="P10" i="66"/>
  <c r="O9" i="66"/>
  <c r="N9" i="66"/>
  <c r="P9" i="66"/>
  <c r="O8" i="66"/>
  <c r="N8" i="66"/>
  <c r="P8" i="66"/>
  <c r="O7" i="66"/>
  <c r="N7" i="66"/>
  <c r="P7" i="66"/>
  <c r="N6" i="66"/>
  <c r="O6" i="66"/>
  <c r="O5" i="66"/>
  <c r="N5" i="66"/>
  <c r="P5" i="66"/>
  <c r="N4" i="66"/>
  <c r="O4" i="66"/>
  <c r="P4" i="66"/>
  <c r="J44" i="65"/>
  <c r="I44" i="65"/>
  <c r="G44" i="65"/>
  <c r="G45" i="65"/>
  <c r="F44" i="65"/>
  <c r="F45" i="65"/>
  <c r="B44" i="65"/>
  <c r="B45" i="65"/>
  <c r="M44" i="65"/>
  <c r="M45" i="65"/>
  <c r="L44" i="65"/>
  <c r="K44" i="65"/>
  <c r="K45" i="65"/>
  <c r="H44" i="65"/>
  <c r="F49" i="64"/>
  <c r="F50" i="64"/>
  <c r="E44" i="65"/>
  <c r="E45" i="65"/>
  <c r="D44" i="65"/>
  <c r="C44" i="65"/>
  <c r="O42" i="65"/>
  <c r="N42" i="65"/>
  <c r="O41" i="65"/>
  <c r="N41" i="65"/>
  <c r="O40" i="65"/>
  <c r="N40" i="65"/>
  <c r="O39" i="65"/>
  <c r="N39" i="65"/>
  <c r="P39" i="65"/>
  <c r="O38" i="65"/>
  <c r="N38" i="65"/>
  <c r="O37" i="65"/>
  <c r="N37" i="65"/>
  <c r="P37" i="65"/>
  <c r="O36" i="65"/>
  <c r="N36" i="65"/>
  <c r="O35" i="65"/>
  <c r="N35" i="65"/>
  <c r="N34" i="65"/>
  <c r="O33" i="65"/>
  <c r="N33" i="65"/>
  <c r="O32" i="65"/>
  <c r="N32" i="65"/>
  <c r="P32" i="65"/>
  <c r="O31" i="65"/>
  <c r="N31" i="65"/>
  <c r="P31" i="65"/>
  <c r="N30" i="65"/>
  <c r="O30" i="65"/>
  <c r="P30" i="65"/>
  <c r="O29" i="65"/>
  <c r="N29" i="65"/>
  <c r="P29" i="65"/>
  <c r="O28" i="65"/>
  <c r="N28" i="65"/>
  <c r="P28" i="65"/>
  <c r="N27" i="65"/>
  <c r="O26" i="65"/>
  <c r="N26" i="65"/>
  <c r="P26" i="65"/>
  <c r="N25" i="65"/>
  <c r="O25" i="65"/>
  <c r="P25" i="65"/>
  <c r="N24" i="65"/>
  <c r="O24" i="65"/>
  <c r="P24" i="65"/>
  <c r="O23" i="65"/>
  <c r="N23" i="65"/>
  <c r="P23" i="65"/>
  <c r="O22" i="65"/>
  <c r="N22" i="65"/>
  <c r="P22" i="65"/>
  <c r="O21" i="65"/>
  <c r="N21" i="65"/>
  <c r="P21" i="65"/>
  <c r="O20" i="65"/>
  <c r="N20" i="65"/>
  <c r="N19" i="65"/>
  <c r="O19" i="65"/>
  <c r="P19" i="65"/>
  <c r="O18" i="65"/>
  <c r="N18" i="65"/>
  <c r="P18" i="65"/>
  <c r="O17" i="65"/>
  <c r="N17" i="65"/>
  <c r="P17" i="65"/>
  <c r="N16" i="65"/>
  <c r="O15" i="65"/>
  <c r="N15" i="65"/>
  <c r="P15" i="65"/>
  <c r="O14" i="65"/>
  <c r="N14" i="65"/>
  <c r="O13" i="65"/>
  <c r="N13" i="65"/>
  <c r="P13" i="65"/>
  <c r="O12" i="65"/>
  <c r="N12" i="65"/>
  <c r="P12" i="65"/>
  <c r="N11" i="65"/>
  <c r="O11" i="65"/>
  <c r="P11" i="65"/>
  <c r="N10" i="65"/>
  <c r="O10" i="65"/>
  <c r="P10" i="65"/>
  <c r="O9" i="65"/>
  <c r="N9" i="65"/>
  <c r="P9" i="65"/>
  <c r="O8" i="65"/>
  <c r="N8" i="65"/>
  <c r="P8" i="65"/>
  <c r="O7" i="65"/>
  <c r="N7" i="65"/>
  <c r="P7" i="65"/>
  <c r="O6" i="65"/>
  <c r="N6" i="65"/>
  <c r="N5" i="65"/>
  <c r="N4" i="65"/>
  <c r="O4" i="65"/>
  <c r="P4" i="65"/>
  <c r="L49" i="64"/>
  <c r="L50" i="64"/>
  <c r="K49" i="64"/>
  <c r="K50" i="64"/>
  <c r="I49" i="64"/>
  <c r="I50" i="64"/>
  <c r="D49" i="64"/>
  <c r="D50" i="64"/>
  <c r="C49" i="64"/>
  <c r="C50" i="64"/>
  <c r="M49" i="64"/>
  <c r="J49" i="64"/>
  <c r="H49" i="64"/>
  <c r="G49" i="64"/>
  <c r="E49" i="64"/>
  <c r="B49" i="64"/>
  <c r="B50" i="64"/>
  <c r="O47" i="64"/>
  <c r="N47" i="64"/>
  <c r="O46" i="64"/>
  <c r="N46" i="64"/>
  <c r="P46" i="64"/>
  <c r="N45" i="64"/>
  <c r="O44" i="64"/>
  <c r="N44" i="64"/>
  <c r="P44" i="64"/>
  <c r="N43" i="64"/>
  <c r="O43" i="64"/>
  <c r="P43" i="64"/>
  <c r="N42" i="64"/>
  <c r="O41" i="64"/>
  <c r="N41" i="64"/>
  <c r="P41" i="64"/>
  <c r="O40" i="64"/>
  <c r="N40" i="64"/>
  <c r="P40" i="64"/>
  <c r="O39" i="64"/>
  <c r="N39" i="64"/>
  <c r="P39" i="64"/>
  <c r="N38" i="64"/>
  <c r="O38" i="64"/>
  <c r="P38" i="64"/>
  <c r="N37" i="64"/>
  <c r="O37" i="64"/>
  <c r="P37" i="64"/>
  <c r="O36" i="64"/>
  <c r="N36" i="64"/>
  <c r="P36" i="64"/>
  <c r="N35" i="64"/>
  <c r="N34" i="64"/>
  <c r="N33" i="64"/>
  <c r="O33" i="64"/>
  <c r="P33" i="64"/>
  <c r="O32" i="64"/>
  <c r="N32" i="64"/>
  <c r="P32" i="64"/>
  <c r="O31" i="64"/>
  <c r="N31" i="64"/>
  <c r="P31" i="64"/>
  <c r="O30" i="64"/>
  <c r="N30" i="64"/>
  <c r="P30" i="64"/>
  <c r="N29" i="64"/>
  <c r="N28" i="64"/>
  <c r="O28" i="64"/>
  <c r="P28" i="64"/>
  <c r="N27" i="64"/>
  <c r="O26" i="64"/>
  <c r="N26" i="64"/>
  <c r="P26" i="64"/>
  <c r="O25" i="64"/>
  <c r="N25" i="64"/>
  <c r="P25" i="64"/>
  <c r="O24" i="64"/>
  <c r="N24" i="64"/>
  <c r="P24" i="64"/>
  <c r="O23" i="64"/>
  <c r="N23" i="64"/>
  <c r="P23" i="64"/>
  <c r="O22" i="64"/>
  <c r="N22" i="64"/>
  <c r="P22" i="64"/>
  <c r="N21" i="64"/>
  <c r="O20" i="64"/>
  <c r="N20" i="64"/>
  <c r="P20" i="64"/>
  <c r="O19" i="64"/>
  <c r="N19" i="64"/>
  <c r="P19" i="64"/>
  <c r="O18" i="64"/>
  <c r="N18" i="64"/>
  <c r="P18" i="64"/>
  <c r="O17" i="64"/>
  <c r="N17" i="64"/>
  <c r="N16" i="64"/>
  <c r="N15" i="64"/>
  <c r="O15" i="64"/>
  <c r="P15" i="64"/>
  <c r="N14" i="64"/>
  <c r="O14" i="64"/>
  <c r="P14" i="64"/>
  <c r="O13" i="64"/>
  <c r="N13" i="64"/>
  <c r="P13" i="64"/>
  <c r="O12" i="64"/>
  <c r="N12" i="64"/>
  <c r="O11" i="64"/>
  <c r="N11" i="64"/>
  <c r="P11" i="64"/>
  <c r="O10" i="64"/>
  <c r="N10" i="64"/>
  <c r="P10" i="64"/>
  <c r="N9" i="64"/>
  <c r="O9" i="64"/>
  <c r="P9" i="64"/>
  <c r="O8" i="64"/>
  <c r="N8" i="64"/>
  <c r="P8" i="64"/>
  <c r="O6" i="64"/>
  <c r="N6" i="64"/>
  <c r="P6" i="64"/>
  <c r="N5" i="64"/>
  <c r="O4" i="64"/>
  <c r="N4" i="64"/>
  <c r="M48" i="63"/>
  <c r="E48" i="63"/>
  <c r="E49" i="63"/>
  <c r="D48" i="63"/>
  <c r="D49" i="63"/>
  <c r="L48" i="63"/>
  <c r="L49" i="63"/>
  <c r="K48" i="63"/>
  <c r="J48" i="63"/>
  <c r="I48" i="63"/>
  <c r="I49" i="63"/>
  <c r="H48" i="63"/>
  <c r="H49" i="63"/>
  <c r="G48" i="63"/>
  <c r="F48" i="63"/>
  <c r="F49" i="63"/>
  <c r="C48" i="63"/>
  <c r="C49" i="63"/>
  <c r="B48" i="63"/>
  <c r="O47" i="63"/>
  <c r="N47" i="63"/>
  <c r="P47" i="63"/>
  <c r="O46" i="63"/>
  <c r="N46" i="63"/>
  <c r="P46" i="63"/>
  <c r="O45" i="63"/>
  <c r="N45" i="63"/>
  <c r="O44" i="63"/>
  <c r="N44" i="63"/>
  <c r="P44" i="63"/>
  <c r="O43" i="63"/>
  <c r="N43" i="63"/>
  <c r="P43" i="63"/>
  <c r="O42" i="63"/>
  <c r="N42" i="63"/>
  <c r="O41" i="63"/>
  <c r="N41" i="63"/>
  <c r="P41" i="63"/>
  <c r="O40" i="63"/>
  <c r="N40" i="63"/>
  <c r="P40" i="63"/>
  <c r="N39" i="63"/>
  <c r="O39" i="63"/>
  <c r="P39" i="63"/>
  <c r="N38" i="63"/>
  <c r="O38" i="63"/>
  <c r="P38" i="63"/>
  <c r="O37" i="63"/>
  <c r="N37" i="63"/>
  <c r="O36" i="63"/>
  <c r="N36" i="63"/>
  <c r="O35" i="63"/>
  <c r="N35" i="63"/>
  <c r="O34" i="63"/>
  <c r="N34" i="63"/>
  <c r="N33" i="63"/>
  <c r="O33" i="63"/>
  <c r="P33" i="63"/>
  <c r="N32" i="63"/>
  <c r="O32" i="63"/>
  <c r="P32" i="63"/>
  <c r="O31" i="63"/>
  <c r="N31" i="63"/>
  <c r="P31" i="63"/>
  <c r="O30" i="63"/>
  <c r="N30" i="63"/>
  <c r="O29" i="63"/>
  <c r="N29" i="63"/>
  <c r="O28" i="63"/>
  <c r="N28" i="63"/>
  <c r="P28" i="63"/>
  <c r="O27" i="63"/>
  <c r="N27" i="63"/>
  <c r="N26" i="63"/>
  <c r="O26" i="63"/>
  <c r="P26" i="63"/>
  <c r="O25" i="63"/>
  <c r="N25" i="63"/>
  <c r="O24" i="63"/>
  <c r="N24" i="63"/>
  <c r="P24" i="63"/>
  <c r="O23" i="63"/>
  <c r="N23" i="63"/>
  <c r="P23" i="63"/>
  <c r="O22" i="63"/>
  <c r="N22" i="63"/>
  <c r="P22" i="63"/>
  <c r="O21" i="63"/>
  <c r="N21" i="63"/>
  <c r="O20" i="63"/>
  <c r="N20" i="63"/>
  <c r="P20" i="63"/>
  <c r="N19" i="63"/>
  <c r="O19" i="63"/>
  <c r="P19" i="63"/>
  <c r="N18" i="63"/>
  <c r="O18" i="63"/>
  <c r="P18" i="63"/>
  <c r="O17" i="63"/>
  <c r="N17" i="63"/>
  <c r="N16" i="63"/>
  <c r="O15" i="63"/>
  <c r="N15" i="63"/>
  <c r="P15" i="63"/>
  <c r="N14" i="63"/>
  <c r="O14" i="63"/>
  <c r="P14" i="63"/>
  <c r="O13" i="63"/>
  <c r="N13" i="63"/>
  <c r="P13" i="63"/>
  <c r="O12" i="63"/>
  <c r="N12" i="63"/>
  <c r="P12" i="63"/>
  <c r="O11" i="63"/>
  <c r="N11" i="63"/>
  <c r="P11" i="63"/>
  <c r="O10" i="63"/>
  <c r="N10" i="63"/>
  <c r="P10" i="63"/>
  <c r="N9" i="63"/>
  <c r="O9" i="63"/>
  <c r="P9" i="63"/>
  <c r="O8" i="63"/>
  <c r="N8" i="63"/>
  <c r="P8" i="63"/>
  <c r="O7" i="63"/>
  <c r="N7" i="63"/>
  <c r="P7" i="63"/>
  <c r="N6" i="63"/>
  <c r="O6" i="63"/>
  <c r="P6" i="63"/>
  <c r="O5" i="63"/>
  <c r="N5" i="63"/>
  <c r="O4" i="63"/>
  <c r="N4" i="63"/>
  <c r="M46" i="62"/>
  <c r="L46" i="62"/>
  <c r="L63" i="61"/>
  <c r="L64" i="61"/>
  <c r="K46" i="62"/>
  <c r="J46" i="62"/>
  <c r="I46" i="62"/>
  <c r="I63" i="61"/>
  <c r="I64" i="61"/>
  <c r="H46" i="62"/>
  <c r="G46" i="62"/>
  <c r="F46" i="62"/>
  <c r="E46" i="62"/>
  <c r="D46" i="62"/>
  <c r="D63" i="61"/>
  <c r="D64" i="61"/>
  <c r="C46" i="62"/>
  <c r="B46" i="62"/>
  <c r="O45" i="62"/>
  <c r="N45" i="62"/>
  <c r="P45" i="62"/>
  <c r="O44" i="62"/>
  <c r="N44" i="62"/>
  <c r="P44" i="62"/>
  <c r="N43" i="62"/>
  <c r="O43" i="62"/>
  <c r="P43" i="62"/>
  <c r="N42" i="62"/>
  <c r="O42" i="62"/>
  <c r="P42" i="62"/>
  <c r="O41" i="62"/>
  <c r="N41" i="62"/>
  <c r="N40" i="62"/>
  <c r="N39" i="62"/>
  <c r="O39" i="62"/>
  <c r="P39" i="62"/>
  <c r="O38" i="62"/>
  <c r="N38" i="62"/>
  <c r="P38" i="62"/>
  <c r="N37" i="62"/>
  <c r="O37" i="62"/>
  <c r="P37" i="62"/>
  <c r="N36" i="62"/>
  <c r="O36" i="62"/>
  <c r="P36" i="62"/>
  <c r="O35" i="62"/>
  <c r="N35" i="62"/>
  <c r="P35" i="62"/>
  <c r="O34" i="62"/>
  <c r="N34" i="62"/>
  <c r="O33" i="62"/>
  <c r="N33" i="62"/>
  <c r="P33" i="62"/>
  <c r="O32" i="62"/>
  <c r="N32" i="62"/>
  <c r="P32" i="62"/>
  <c r="O31" i="62"/>
  <c r="N31" i="62"/>
  <c r="P31" i="62"/>
  <c r="O30" i="62"/>
  <c r="N30" i="62"/>
  <c r="P30" i="62"/>
  <c r="O29" i="62"/>
  <c r="N29" i="62"/>
  <c r="P29" i="62"/>
  <c r="N28" i="62"/>
  <c r="O28" i="62"/>
  <c r="P28" i="62"/>
  <c r="O27" i="62"/>
  <c r="N27" i="62"/>
  <c r="P27" i="62"/>
  <c r="O26" i="62"/>
  <c r="N26" i="62"/>
  <c r="P26" i="62"/>
  <c r="O25" i="62"/>
  <c r="N25" i="62"/>
  <c r="P25" i="62"/>
  <c r="N24" i="62"/>
  <c r="O24" i="62"/>
  <c r="P24" i="62"/>
  <c r="N23" i="62"/>
  <c r="O23" i="62"/>
  <c r="P23" i="62"/>
  <c r="O22" i="62"/>
  <c r="N22" i="62"/>
  <c r="P22" i="62"/>
  <c r="N21" i="62"/>
  <c r="O21" i="62"/>
  <c r="P21" i="62"/>
  <c r="N20" i="62"/>
  <c r="O20" i="62"/>
  <c r="P20" i="62"/>
  <c r="O19" i="62"/>
  <c r="N19" i="62"/>
  <c r="P19" i="62"/>
  <c r="O18" i="62"/>
  <c r="N18" i="62"/>
  <c r="O17" i="62"/>
  <c r="N17" i="62"/>
  <c r="P17" i="62"/>
  <c r="O16" i="62"/>
  <c r="N16" i="62"/>
  <c r="P16" i="62"/>
  <c r="O15" i="62"/>
  <c r="N15" i="62"/>
  <c r="P15" i="62"/>
  <c r="O14" i="62"/>
  <c r="N14" i="62"/>
  <c r="P14" i="62"/>
  <c r="O13" i="62"/>
  <c r="N13" i="62"/>
  <c r="P13" i="62"/>
  <c r="N12" i="62"/>
  <c r="O11" i="62"/>
  <c r="N11" i="62"/>
  <c r="P11" i="62"/>
  <c r="N10" i="62"/>
  <c r="N9" i="62"/>
  <c r="O8" i="62"/>
  <c r="N8" i="62"/>
  <c r="P8" i="62"/>
  <c r="O7" i="62"/>
  <c r="N7" i="62"/>
  <c r="P7" i="62"/>
  <c r="O6" i="62"/>
  <c r="N6" i="62"/>
  <c r="O5" i="62"/>
  <c r="N5" i="62"/>
  <c r="O4" i="62"/>
  <c r="N4" i="62"/>
  <c r="P4" i="62"/>
  <c r="M63" i="61"/>
  <c r="M64" i="61"/>
  <c r="J63" i="61"/>
  <c r="J64" i="61"/>
  <c r="G63" i="61"/>
  <c r="G67" i="60"/>
  <c r="G68" i="60"/>
  <c r="E63" i="61"/>
  <c r="E64" i="61"/>
  <c r="B63" i="61"/>
  <c r="B64" i="61"/>
  <c r="K63" i="61"/>
  <c r="K67" i="60"/>
  <c r="K68" i="60"/>
  <c r="H63" i="61"/>
  <c r="H67" i="60"/>
  <c r="H68" i="60"/>
  <c r="F63" i="61"/>
  <c r="F64" i="61"/>
  <c r="C63" i="61"/>
  <c r="C67" i="60"/>
  <c r="C68" i="60"/>
  <c r="N62" i="61"/>
  <c r="O62" i="61"/>
  <c r="P62" i="61"/>
  <c r="O60" i="61"/>
  <c r="N60" i="61"/>
  <c r="P60" i="61"/>
  <c r="N59" i="61"/>
  <c r="O59" i="61"/>
  <c r="P59" i="61"/>
  <c r="N58" i="61"/>
  <c r="O58" i="61"/>
  <c r="P58" i="61"/>
  <c r="O57" i="61"/>
  <c r="N57" i="61"/>
  <c r="P57" i="61"/>
  <c r="O56" i="61"/>
  <c r="N56" i="61"/>
  <c r="O54" i="61"/>
  <c r="N54" i="61"/>
  <c r="P54" i="61"/>
  <c r="O53" i="61"/>
  <c r="N53" i="61"/>
  <c r="P53" i="61"/>
  <c r="O52" i="61"/>
  <c r="N52" i="61"/>
  <c r="P52" i="61"/>
  <c r="O50" i="61"/>
  <c r="N50" i="61"/>
  <c r="P50" i="61"/>
  <c r="O49" i="61"/>
  <c r="N49" i="61"/>
  <c r="P49" i="61"/>
  <c r="N48" i="61"/>
  <c r="O48" i="61"/>
  <c r="P48" i="61"/>
  <c r="O47" i="61"/>
  <c r="N47" i="61"/>
  <c r="P47" i="61"/>
  <c r="O46" i="61"/>
  <c r="N46" i="61"/>
  <c r="P46" i="61"/>
  <c r="O43" i="61"/>
  <c r="N43" i="61"/>
  <c r="P43" i="61"/>
  <c r="N38" i="61"/>
  <c r="O38" i="61"/>
  <c r="P38" i="61"/>
  <c r="N37" i="61"/>
  <c r="N36" i="61"/>
  <c r="O36" i="61"/>
  <c r="P36" i="61"/>
  <c r="O35" i="61"/>
  <c r="N35" i="61"/>
  <c r="P35" i="61"/>
  <c r="O34" i="61"/>
  <c r="N34" i="61"/>
  <c r="P34" i="61"/>
  <c r="O33" i="61"/>
  <c r="N33" i="61"/>
  <c r="P33" i="61"/>
  <c r="O32" i="61"/>
  <c r="N32" i="61"/>
  <c r="P32" i="61"/>
  <c r="N31" i="61"/>
  <c r="O31" i="61"/>
  <c r="P31" i="61"/>
  <c r="O27" i="61"/>
  <c r="N27" i="61"/>
  <c r="P27" i="61"/>
  <c r="O25" i="61"/>
  <c r="N25" i="61"/>
  <c r="P25" i="61"/>
  <c r="N24" i="61"/>
  <c r="O23" i="61"/>
  <c r="N23" i="61"/>
  <c r="P23" i="61"/>
  <c r="N22" i="61"/>
  <c r="N21" i="61"/>
  <c r="O20" i="61"/>
  <c r="N20" i="61"/>
  <c r="P20" i="61"/>
  <c r="N19" i="61"/>
  <c r="O18" i="61"/>
  <c r="N18" i="61"/>
  <c r="P18" i="61"/>
  <c r="N17" i="61"/>
  <c r="O17" i="61"/>
  <c r="P17" i="61"/>
  <c r="N16" i="61"/>
  <c r="O16" i="61"/>
  <c r="P16" i="61"/>
  <c r="N15" i="61"/>
  <c r="O14" i="61"/>
  <c r="N14" i="61"/>
  <c r="P14" i="61"/>
  <c r="N13" i="61"/>
  <c r="N12" i="61"/>
  <c r="O12" i="61"/>
  <c r="P12" i="61"/>
  <c r="O11" i="61"/>
  <c r="N11" i="61"/>
  <c r="O10" i="61"/>
  <c r="N10" i="61"/>
  <c r="P10" i="61"/>
  <c r="O9" i="61"/>
  <c r="N9" i="61"/>
  <c r="P9" i="61"/>
  <c r="O8" i="61"/>
  <c r="N8" i="61"/>
  <c r="P8" i="61"/>
  <c r="N7" i="61"/>
  <c r="N6" i="61"/>
  <c r="O6" i="61"/>
  <c r="P6" i="61"/>
  <c r="O5" i="61"/>
  <c r="N5" i="61"/>
  <c r="P5" i="61"/>
  <c r="O4" i="61"/>
  <c r="N4" i="61"/>
  <c r="J67" i="60"/>
  <c r="J68" i="60"/>
  <c r="F67" i="60"/>
  <c r="F68" i="60"/>
  <c r="B67" i="60"/>
  <c r="B68" i="60"/>
  <c r="M67" i="60"/>
  <c r="M68" i="60"/>
  <c r="L67" i="60"/>
  <c r="I67" i="60"/>
  <c r="E67" i="60"/>
  <c r="E100" i="59"/>
  <c r="E68" i="60"/>
  <c r="D67" i="60"/>
  <c r="O66" i="60"/>
  <c r="N66" i="60"/>
  <c r="O65" i="60"/>
  <c r="N65" i="60"/>
  <c r="P65" i="60"/>
  <c r="O64" i="60"/>
  <c r="N64" i="60"/>
  <c r="P64" i="60"/>
  <c r="O63" i="60"/>
  <c r="N63" i="60"/>
  <c r="P63" i="60"/>
  <c r="O62" i="60"/>
  <c r="N62" i="60"/>
  <c r="P62" i="60"/>
  <c r="O61" i="60"/>
  <c r="N61" i="60"/>
  <c r="P61" i="60"/>
  <c r="O60" i="60"/>
  <c r="N60" i="60"/>
  <c r="P60" i="60"/>
  <c r="N59" i="60"/>
  <c r="O58" i="60"/>
  <c r="N58" i="60"/>
  <c r="P58" i="60"/>
  <c r="O57" i="60"/>
  <c r="N57" i="60"/>
  <c r="P57" i="60"/>
  <c r="O56" i="60"/>
  <c r="N56" i="60"/>
  <c r="P56" i="60"/>
  <c r="N55" i="60"/>
  <c r="N54" i="60"/>
  <c r="O53" i="60"/>
  <c r="N53" i="60"/>
  <c r="P53" i="60"/>
  <c r="O52" i="60"/>
  <c r="N52" i="60"/>
  <c r="P52" i="60"/>
  <c r="O51" i="60"/>
  <c r="N51" i="60"/>
  <c r="P51" i="60"/>
  <c r="N50" i="60"/>
  <c r="O50" i="60"/>
  <c r="P50" i="60"/>
  <c r="N49" i="60"/>
  <c r="O49" i="60"/>
  <c r="P49" i="60"/>
  <c r="O48" i="60"/>
  <c r="N48" i="60"/>
  <c r="P48" i="60"/>
  <c r="O47" i="60"/>
  <c r="N47" i="60"/>
  <c r="P47" i="60"/>
  <c r="O46" i="60"/>
  <c r="N46" i="60"/>
  <c r="P46" i="60"/>
  <c r="N45" i="60"/>
  <c r="O44" i="60"/>
  <c r="N44" i="60"/>
  <c r="P44" i="60"/>
  <c r="N43" i="60"/>
  <c r="O43" i="60"/>
  <c r="P43" i="60"/>
  <c r="O42" i="60"/>
  <c r="N42" i="60"/>
  <c r="P42" i="60"/>
  <c r="O41" i="60"/>
  <c r="N41" i="60"/>
  <c r="P41" i="60"/>
  <c r="O40" i="60"/>
  <c r="N40" i="60"/>
  <c r="P40" i="60"/>
  <c r="N39" i="60"/>
  <c r="O39" i="60"/>
  <c r="P39" i="60"/>
  <c r="N38" i="60"/>
  <c r="O38" i="60"/>
  <c r="P38" i="60"/>
  <c r="O37" i="60"/>
  <c r="N37" i="60"/>
  <c r="P37" i="60"/>
  <c r="N36" i="60"/>
  <c r="O36" i="60"/>
  <c r="P36" i="60"/>
  <c r="N35" i="60"/>
  <c r="O35" i="60"/>
  <c r="P35" i="60"/>
  <c r="O34" i="60"/>
  <c r="N34" i="60"/>
  <c r="P34" i="60"/>
  <c r="N33" i="60"/>
  <c r="O32" i="60"/>
  <c r="N32" i="60"/>
  <c r="P32" i="60"/>
  <c r="O31" i="60"/>
  <c r="N31" i="60"/>
  <c r="P31" i="60"/>
  <c r="O30" i="60"/>
  <c r="N30" i="60"/>
  <c r="P30" i="60"/>
  <c r="N29" i="60"/>
  <c r="O29" i="60"/>
  <c r="P29" i="60"/>
  <c r="O28" i="60"/>
  <c r="N28" i="60"/>
  <c r="P28" i="60"/>
  <c r="O27" i="60"/>
  <c r="N27" i="60"/>
  <c r="P27" i="60"/>
  <c r="O26" i="60"/>
  <c r="N26" i="60"/>
  <c r="P26" i="60"/>
  <c r="O25" i="60"/>
  <c r="N25" i="60"/>
  <c r="P25" i="60"/>
  <c r="O24" i="60"/>
  <c r="N24" i="60"/>
  <c r="P24" i="60"/>
  <c r="O23" i="60"/>
  <c r="N23" i="60"/>
  <c r="P23" i="60"/>
  <c r="N22" i="60"/>
  <c r="O21" i="60"/>
  <c r="N21" i="60"/>
  <c r="O20" i="60"/>
  <c r="N20" i="60"/>
  <c r="P20" i="60"/>
  <c r="O19" i="60"/>
  <c r="N19" i="60"/>
  <c r="P19" i="60"/>
  <c r="O18" i="60"/>
  <c r="N18" i="60"/>
  <c r="P18" i="60"/>
  <c r="O17" i="60"/>
  <c r="N17" i="60"/>
  <c r="P17" i="60"/>
  <c r="N16" i="60"/>
  <c r="O16" i="60"/>
  <c r="P16" i="60"/>
  <c r="N15" i="60"/>
  <c r="O15" i="60"/>
  <c r="P15" i="60"/>
  <c r="O14" i="60"/>
  <c r="N14" i="60"/>
  <c r="P14" i="60"/>
  <c r="O13" i="60"/>
  <c r="N13" i="60"/>
  <c r="P13" i="60"/>
  <c r="O12" i="60"/>
  <c r="N12" i="60"/>
  <c r="P12" i="60"/>
  <c r="N11" i="60"/>
  <c r="O11" i="60"/>
  <c r="P11" i="60"/>
  <c r="O10" i="60"/>
  <c r="N10" i="60"/>
  <c r="P10" i="60"/>
  <c r="O9" i="60"/>
  <c r="N9" i="60"/>
  <c r="P9" i="60"/>
  <c r="N8" i="60"/>
  <c r="O8" i="60"/>
  <c r="P8" i="60"/>
  <c r="N7" i="60"/>
  <c r="O6" i="60"/>
  <c r="N6" i="60"/>
  <c r="P6" i="60"/>
  <c r="O5" i="60"/>
  <c r="N5" i="60"/>
  <c r="P5" i="60"/>
  <c r="O4" i="60"/>
  <c r="N4" i="60"/>
  <c r="P4" i="60"/>
  <c r="K100" i="59"/>
  <c r="C100" i="59"/>
  <c r="G100" i="59"/>
  <c r="F100" i="59"/>
  <c r="B100" i="59"/>
  <c r="N98" i="59"/>
  <c r="O98" i="59"/>
  <c r="P98" i="59"/>
  <c r="N97" i="59"/>
  <c r="O97" i="59"/>
  <c r="P97" i="59"/>
  <c r="O96" i="59"/>
  <c r="N96" i="59"/>
  <c r="P96" i="59"/>
  <c r="O95" i="59"/>
  <c r="N95" i="59"/>
  <c r="P95" i="59"/>
  <c r="O94" i="59"/>
  <c r="N94" i="59"/>
  <c r="P94" i="59"/>
  <c r="O92" i="59"/>
  <c r="N92" i="59"/>
  <c r="P92" i="59"/>
  <c r="O90" i="59"/>
  <c r="N90" i="59"/>
  <c r="P90" i="59"/>
  <c r="O89" i="59"/>
  <c r="N89" i="59"/>
  <c r="O88" i="59"/>
  <c r="N88" i="59"/>
  <c r="P88" i="59"/>
  <c r="O87" i="59"/>
  <c r="N87" i="59"/>
  <c r="P87" i="59"/>
  <c r="O86" i="59"/>
  <c r="N86" i="59"/>
  <c r="P86" i="59"/>
  <c r="N85" i="59"/>
  <c r="O85" i="59"/>
  <c r="P85" i="59"/>
  <c r="N84" i="59"/>
  <c r="O83" i="59"/>
  <c r="N83" i="59"/>
  <c r="P83" i="59"/>
  <c r="O82" i="59"/>
  <c r="N82" i="59"/>
  <c r="P82" i="59"/>
  <c r="N80" i="59"/>
  <c r="O80" i="59"/>
  <c r="P80" i="59"/>
  <c r="O79" i="59"/>
  <c r="N79" i="59"/>
  <c r="P79" i="59"/>
  <c r="O77" i="59"/>
  <c r="N77" i="59"/>
  <c r="P77" i="59"/>
  <c r="N76" i="59"/>
  <c r="O76" i="59"/>
  <c r="P76" i="59"/>
  <c r="O75" i="59"/>
  <c r="N75" i="59"/>
  <c r="O74" i="59"/>
  <c r="N74" i="59"/>
  <c r="P74" i="59"/>
  <c r="O73" i="59"/>
  <c r="N73" i="59"/>
  <c r="P73" i="59"/>
  <c r="O72" i="59"/>
  <c r="N72" i="59"/>
  <c r="P72" i="59"/>
  <c r="O69" i="59"/>
  <c r="N69" i="59"/>
  <c r="P69" i="59"/>
  <c r="O68" i="59"/>
  <c r="N68" i="59"/>
  <c r="P68" i="59"/>
  <c r="O66" i="59"/>
  <c r="N66" i="59"/>
  <c r="P66" i="59"/>
  <c r="N63" i="59"/>
  <c r="O63" i="59"/>
  <c r="P63" i="59"/>
  <c r="O62" i="59"/>
  <c r="N62" i="59"/>
  <c r="P62" i="59"/>
  <c r="O59" i="59"/>
  <c r="N59" i="59"/>
  <c r="P59" i="59"/>
  <c r="O58" i="59"/>
  <c r="N58" i="59"/>
  <c r="P58" i="59"/>
  <c r="O56" i="59"/>
  <c r="N56" i="59"/>
  <c r="P56" i="59"/>
  <c r="N55" i="59"/>
  <c r="O55" i="59"/>
  <c r="P55" i="59"/>
  <c r="O54" i="59"/>
  <c r="N54" i="59"/>
  <c r="P54" i="59"/>
  <c r="O53" i="59"/>
  <c r="N53" i="59"/>
  <c r="P53" i="59"/>
  <c r="N52" i="59"/>
  <c r="O52" i="59"/>
  <c r="P52" i="59"/>
  <c r="O51" i="59"/>
  <c r="N51" i="59"/>
  <c r="O50" i="59"/>
  <c r="N50" i="59"/>
  <c r="P50" i="59"/>
  <c r="O49" i="59"/>
  <c r="N49" i="59"/>
  <c r="P49" i="59"/>
  <c r="O48" i="59"/>
  <c r="N48" i="59"/>
  <c r="P48" i="59"/>
  <c r="O47" i="59"/>
  <c r="N47" i="59"/>
  <c r="P47" i="59"/>
  <c r="O42" i="59"/>
  <c r="N42" i="59"/>
  <c r="P42" i="59"/>
  <c r="O41" i="59"/>
  <c r="N41" i="59"/>
  <c r="P41" i="59"/>
  <c r="N39" i="59"/>
  <c r="O39" i="59"/>
  <c r="P39" i="59"/>
  <c r="O38" i="59"/>
  <c r="N38" i="59"/>
  <c r="P38" i="59"/>
  <c r="O36" i="59"/>
  <c r="N36" i="59"/>
  <c r="N31" i="59"/>
  <c r="O31" i="59"/>
  <c r="P31" i="59"/>
  <c r="O29" i="59"/>
  <c r="N29" i="59"/>
  <c r="P29" i="59"/>
  <c r="O27" i="59"/>
  <c r="N27" i="59"/>
  <c r="O25" i="59"/>
  <c r="N25" i="59"/>
  <c r="P25" i="59"/>
  <c r="O23" i="59"/>
  <c r="N23" i="59"/>
  <c r="P23" i="59"/>
  <c r="O22" i="59"/>
  <c r="N22" i="59"/>
  <c r="P22" i="59"/>
  <c r="O21" i="59"/>
  <c r="N21" i="59"/>
  <c r="P21" i="59"/>
  <c r="O20" i="59"/>
  <c r="N20" i="59"/>
  <c r="P20" i="59"/>
  <c r="N19" i="59"/>
  <c r="O19" i="59"/>
  <c r="P19" i="59"/>
  <c r="O18" i="59"/>
  <c r="N18" i="59"/>
  <c r="P18" i="59"/>
  <c r="O17" i="59"/>
  <c r="N17" i="59"/>
  <c r="P17" i="59"/>
  <c r="O14" i="59"/>
  <c r="N14" i="59"/>
  <c r="P14" i="59"/>
  <c r="N12" i="59"/>
  <c r="O12" i="59"/>
  <c r="P12" i="59"/>
  <c r="N11" i="59"/>
  <c r="O11" i="59"/>
  <c r="P11" i="59"/>
  <c r="O9" i="59"/>
  <c r="N9" i="59"/>
  <c r="P9" i="59"/>
  <c r="N8" i="59"/>
  <c r="O8" i="59"/>
  <c r="P8" i="59"/>
  <c r="N7" i="59"/>
  <c r="O7" i="59"/>
  <c r="O5" i="59"/>
  <c r="O99" i="59"/>
  <c r="P7" i="59"/>
  <c r="N5" i="59"/>
  <c r="P5" i="59"/>
  <c r="P100" i="58"/>
  <c r="P99" i="58"/>
  <c r="P98" i="58"/>
  <c r="P97" i="58"/>
  <c r="P96" i="58"/>
  <c r="P93" i="58"/>
  <c r="P91" i="58"/>
  <c r="P90" i="58"/>
  <c r="P89" i="58"/>
  <c r="P88" i="58"/>
  <c r="P87" i="58"/>
  <c r="P86" i="58"/>
  <c r="P85" i="58"/>
  <c r="P84" i="58"/>
  <c r="P83" i="58"/>
  <c r="P81" i="58"/>
  <c r="P80" i="58"/>
  <c r="P78" i="58"/>
  <c r="P77" i="58"/>
  <c r="P76" i="58"/>
  <c r="P75" i="58"/>
  <c r="P74" i="58"/>
  <c r="P73" i="58"/>
  <c r="P71" i="58"/>
  <c r="P70" i="58"/>
  <c r="P69" i="58"/>
  <c r="P67" i="58"/>
  <c r="P64" i="58"/>
  <c r="P63" i="58"/>
  <c r="P60" i="58"/>
  <c r="P59" i="58"/>
  <c r="P57" i="58"/>
  <c r="P56" i="58"/>
  <c r="P55" i="58"/>
  <c r="P53" i="58"/>
  <c r="P52" i="58"/>
  <c r="P51" i="58"/>
  <c r="P50" i="58"/>
  <c r="P49" i="58"/>
  <c r="P48" i="58"/>
  <c r="P47" i="58"/>
  <c r="P42" i="58"/>
  <c r="P41" i="58"/>
  <c r="P39" i="58"/>
  <c r="P38" i="58"/>
  <c r="P36" i="58"/>
  <c r="P34" i="58"/>
  <c r="P33" i="58"/>
  <c r="P31" i="58"/>
  <c r="P29" i="58"/>
  <c r="P27" i="58"/>
  <c r="P25" i="58"/>
  <c r="P23" i="58"/>
  <c r="P22" i="58"/>
  <c r="P21" i="58"/>
  <c r="P20" i="58"/>
  <c r="P19" i="58"/>
  <c r="P18" i="58"/>
  <c r="P17" i="58"/>
  <c r="P11" i="58"/>
  <c r="P9" i="58"/>
  <c r="P7" i="58"/>
  <c r="P5" i="58"/>
  <c r="P23" i="72"/>
  <c r="P14" i="58"/>
  <c r="P20" i="71"/>
  <c r="P21" i="71"/>
  <c r="P12" i="58"/>
  <c r="H45" i="65"/>
  <c r="H50" i="64"/>
  <c r="D36" i="67"/>
  <c r="O39" i="66"/>
  <c r="P8" i="58"/>
  <c r="D100" i="59"/>
  <c r="L100" i="59"/>
  <c r="N63" i="61"/>
  <c r="P4" i="61"/>
  <c r="N44" i="65"/>
  <c r="B31" i="68"/>
  <c r="O35" i="67"/>
  <c r="O67" i="60"/>
  <c r="D68" i="60"/>
  <c r="L68" i="60"/>
  <c r="O63" i="61"/>
  <c r="N67" i="60"/>
  <c r="I100" i="59"/>
  <c r="N46" i="62"/>
  <c r="O46" i="62"/>
  <c r="P46" i="62"/>
  <c r="P5" i="62"/>
  <c r="O49" i="64"/>
  <c r="I68" i="60"/>
  <c r="N49" i="64"/>
  <c r="P49" i="64"/>
  <c r="G49" i="63"/>
  <c r="G50" i="64"/>
  <c r="O44" i="65"/>
  <c r="N39" i="66"/>
  <c r="P39" i="66"/>
  <c r="B36" i="67"/>
  <c r="J36" i="67"/>
  <c r="C26" i="69"/>
  <c r="K26" i="69"/>
  <c r="P27" i="59"/>
  <c r="H100" i="59"/>
  <c r="P11" i="61"/>
  <c r="P56" i="61"/>
  <c r="C64" i="61"/>
  <c r="P18" i="62"/>
  <c r="P34" i="62"/>
  <c r="P41" i="62"/>
  <c r="P30" i="63"/>
  <c r="P37" i="63"/>
  <c r="B49" i="63"/>
  <c r="P47" i="64"/>
  <c r="G40" i="66"/>
  <c r="N35" i="67"/>
  <c r="N30" i="68"/>
  <c r="N36" i="67"/>
  <c r="M36" i="67"/>
  <c r="M100" i="59"/>
  <c r="N48" i="63"/>
  <c r="O48" i="63"/>
  <c r="P48" i="63"/>
  <c r="O25" i="69"/>
  <c r="O22" i="69"/>
  <c r="P22" i="69"/>
  <c r="P4" i="63"/>
  <c r="J49" i="63"/>
  <c r="P51" i="59"/>
  <c r="P75" i="59"/>
  <c r="P21" i="60"/>
  <c r="P66" i="60"/>
  <c r="H64" i="61"/>
  <c r="P25" i="63"/>
  <c r="E50" i="64"/>
  <c r="M50" i="64"/>
  <c r="D45" i="65"/>
  <c r="D40" i="66"/>
  <c r="L45" i="65"/>
  <c r="L40" i="66"/>
  <c r="P8" i="67"/>
  <c r="N31" i="68"/>
  <c r="P8" i="69"/>
  <c r="N25" i="69"/>
  <c r="P25" i="69"/>
  <c r="P4" i="64"/>
  <c r="O30" i="68"/>
  <c r="P30" i="68"/>
  <c r="N40" i="66"/>
  <c r="P35" i="67"/>
  <c r="P44" i="65"/>
  <c r="N45" i="65"/>
  <c r="P63" i="61"/>
  <c r="O32" i="55"/>
  <c r="N39" i="56"/>
  <c r="P39" i="56"/>
  <c r="M33" i="52"/>
  <c r="M34" i="56"/>
  <c r="L33" i="52"/>
  <c r="L33" i="49"/>
  <c r="L34" i="52"/>
  <c r="L34" i="56"/>
  <c r="K33" i="52"/>
  <c r="K34" i="56"/>
  <c r="J33" i="52"/>
  <c r="J34" i="56"/>
  <c r="I33" i="52"/>
  <c r="I34" i="56"/>
  <c r="H33" i="52"/>
  <c r="H33" i="49"/>
  <c r="H34" i="52"/>
  <c r="H34" i="56"/>
  <c r="G33" i="52"/>
  <c r="G34" i="56"/>
  <c r="F33" i="52"/>
  <c r="F34" i="56"/>
  <c r="E33" i="52"/>
  <c r="E34" i="56"/>
  <c r="D33" i="52"/>
  <c r="D34" i="56"/>
  <c r="C33" i="52"/>
  <c r="C34" i="56"/>
  <c r="B33" i="52"/>
  <c r="B34" i="56"/>
  <c r="P31" i="56"/>
  <c r="P30" i="56"/>
  <c r="P28" i="56"/>
  <c r="P26" i="56"/>
  <c r="P22" i="56"/>
  <c r="P20" i="56"/>
  <c r="P19" i="56"/>
  <c r="P18" i="56"/>
  <c r="P17" i="56"/>
  <c r="P15" i="56"/>
  <c r="P14" i="56"/>
  <c r="P12" i="56"/>
  <c r="P11" i="56"/>
  <c r="P10" i="56"/>
  <c r="P7" i="56"/>
  <c r="P6" i="56"/>
  <c r="N31" i="55"/>
  <c r="P31" i="55"/>
  <c r="N30" i="55"/>
  <c r="P30" i="55"/>
  <c r="N29" i="55"/>
  <c r="N28" i="55"/>
  <c r="P28" i="55"/>
  <c r="N27" i="55"/>
  <c r="N26" i="55"/>
  <c r="N25" i="55"/>
  <c r="P25" i="55"/>
  <c r="N24" i="55"/>
  <c r="P24" i="55"/>
  <c r="N23" i="55"/>
  <c r="N22" i="55"/>
  <c r="N21" i="55"/>
  <c r="P21" i="55"/>
  <c r="N20" i="55"/>
  <c r="P20" i="55"/>
  <c r="N19" i="55"/>
  <c r="P19" i="55"/>
  <c r="N18" i="55"/>
  <c r="N16" i="55"/>
  <c r="N15" i="55"/>
  <c r="P15" i="55"/>
  <c r="N14" i="55"/>
  <c r="N13" i="55"/>
  <c r="P13" i="55"/>
  <c r="N12" i="55"/>
  <c r="N4" i="55"/>
  <c r="N5" i="55"/>
  <c r="N6" i="55"/>
  <c r="N7" i="55"/>
  <c r="N8" i="55"/>
  <c r="N9" i="55"/>
  <c r="N10" i="55"/>
  <c r="N11" i="55"/>
  <c r="N32" i="55"/>
  <c r="P32" i="55"/>
  <c r="P11" i="55"/>
  <c r="P10" i="55"/>
  <c r="P8" i="55"/>
  <c r="P7" i="55"/>
  <c r="P6" i="55"/>
  <c r="P4" i="55"/>
  <c r="P23" i="55"/>
  <c r="K33" i="50"/>
  <c r="M33" i="50"/>
  <c r="B33" i="50"/>
  <c r="P14" i="55"/>
  <c r="P29" i="55"/>
  <c r="P16" i="55"/>
  <c r="P27" i="55"/>
  <c r="P18" i="55"/>
  <c r="P5" i="55"/>
  <c r="P22" i="55"/>
  <c r="P9" i="55"/>
  <c r="P26" i="55"/>
  <c r="P21" i="56"/>
  <c r="P25" i="56"/>
  <c r="P5" i="56"/>
  <c r="P9" i="56"/>
  <c r="P29" i="56"/>
  <c r="P13" i="56"/>
  <c r="P23" i="56"/>
  <c r="P27" i="56"/>
  <c r="P16" i="56"/>
  <c r="P32" i="56"/>
  <c r="P8" i="56"/>
  <c r="P24" i="56"/>
  <c r="P4" i="56"/>
  <c r="L33" i="50"/>
  <c r="B5" i="46"/>
  <c r="O5" i="50"/>
  <c r="B6" i="46"/>
  <c r="O6" i="50"/>
  <c r="B7" i="46"/>
  <c r="O7" i="50"/>
  <c r="N7" i="50"/>
  <c r="P7" i="50"/>
  <c r="B8" i="46"/>
  <c r="O8" i="50"/>
  <c r="B14" i="46"/>
  <c r="O14" i="50"/>
  <c r="N14" i="50"/>
  <c r="P14" i="50"/>
  <c r="B15" i="46"/>
  <c r="O15" i="50"/>
  <c r="B16" i="46"/>
  <c r="O16" i="50"/>
  <c r="B4" i="46"/>
  <c r="O4" i="50"/>
  <c r="O30" i="51"/>
  <c r="O29" i="51"/>
  <c r="O5" i="51"/>
  <c r="O6" i="51"/>
  <c r="O4" i="51"/>
  <c r="O7" i="51"/>
  <c r="O8" i="51"/>
  <c r="O9" i="51"/>
  <c r="O10" i="51"/>
  <c r="O11" i="51"/>
  <c r="O12" i="51"/>
  <c r="O13" i="51"/>
  <c r="O14" i="51"/>
  <c r="O15" i="51"/>
  <c r="O16" i="51"/>
  <c r="O17" i="51"/>
  <c r="O18" i="51"/>
  <c r="O19" i="51"/>
  <c r="O20" i="51"/>
  <c r="O21" i="51"/>
  <c r="O22" i="51"/>
  <c r="O23" i="51"/>
  <c r="O24" i="51"/>
  <c r="O25" i="51"/>
  <c r="O26" i="51"/>
  <c r="O27" i="51"/>
  <c r="O28" i="51"/>
  <c r="O31" i="51"/>
  <c r="O39" i="52"/>
  <c r="O32" i="52"/>
  <c r="N32" i="52"/>
  <c r="P32" i="52"/>
  <c r="O31" i="52"/>
  <c r="O5" i="52"/>
  <c r="O6" i="52"/>
  <c r="O7" i="52"/>
  <c r="O8" i="52"/>
  <c r="N8" i="52"/>
  <c r="P8" i="52"/>
  <c r="O9" i="52"/>
  <c r="O10" i="52"/>
  <c r="O11" i="52"/>
  <c r="O12" i="52"/>
  <c r="N12" i="52"/>
  <c r="P12" i="52"/>
  <c r="O13" i="52"/>
  <c r="O14" i="52"/>
  <c r="O15" i="52"/>
  <c r="O16" i="52"/>
  <c r="N16" i="52"/>
  <c r="P16" i="52"/>
  <c r="O17" i="52"/>
  <c r="O18" i="52"/>
  <c r="O19" i="52"/>
  <c r="O20" i="52"/>
  <c r="N20" i="52"/>
  <c r="P20" i="52"/>
  <c r="O21" i="52"/>
  <c r="O22" i="52"/>
  <c r="O23" i="52"/>
  <c r="O24" i="52"/>
  <c r="N24" i="52"/>
  <c r="P24" i="52"/>
  <c r="O25" i="52"/>
  <c r="O26" i="52"/>
  <c r="O27" i="52"/>
  <c r="O28" i="52"/>
  <c r="N28" i="52"/>
  <c r="P28" i="52"/>
  <c r="O29" i="52"/>
  <c r="O30" i="52"/>
  <c r="O4" i="52"/>
  <c r="N4" i="52"/>
  <c r="P4" i="52"/>
  <c r="C40" i="52"/>
  <c r="D40" i="52"/>
  <c r="E40" i="52"/>
  <c r="F40" i="52"/>
  <c r="G40" i="52"/>
  <c r="H40" i="52"/>
  <c r="I40" i="52"/>
  <c r="J40" i="52"/>
  <c r="K40" i="52"/>
  <c r="L40" i="52"/>
  <c r="M40" i="52"/>
  <c r="B40" i="52"/>
  <c r="B33" i="49"/>
  <c r="I33" i="49"/>
  <c r="I34" i="52"/>
  <c r="J33" i="49"/>
  <c r="K33" i="49"/>
  <c r="M33" i="49"/>
  <c r="V17" i="49"/>
  <c r="Y29" i="49"/>
  <c r="Y31" i="49"/>
  <c r="Y23" i="49"/>
  <c r="Y25" i="49"/>
  <c r="P26" i="54"/>
  <c r="P13" i="54"/>
  <c r="P10" i="54"/>
  <c r="N39" i="52"/>
  <c r="P39" i="52"/>
  <c r="K34" i="52"/>
  <c r="J34" i="52"/>
  <c r="G33" i="49"/>
  <c r="G34" i="52"/>
  <c r="F33" i="49"/>
  <c r="E33" i="49"/>
  <c r="E34" i="52"/>
  <c r="N31" i="52"/>
  <c r="P31" i="52"/>
  <c r="N30" i="52"/>
  <c r="P30" i="52"/>
  <c r="N29" i="52"/>
  <c r="P29" i="52"/>
  <c r="N27" i="52"/>
  <c r="P27" i="52"/>
  <c r="N26" i="52"/>
  <c r="P26" i="52"/>
  <c r="N25" i="52"/>
  <c r="P25" i="52"/>
  <c r="N23" i="52"/>
  <c r="P23" i="52"/>
  <c r="N22" i="52"/>
  <c r="P22" i="52"/>
  <c r="N21" i="52"/>
  <c r="P21" i="52"/>
  <c r="N19" i="52"/>
  <c r="P19" i="52"/>
  <c r="N18" i="52"/>
  <c r="P18" i="52"/>
  <c r="N17" i="52"/>
  <c r="P17" i="52"/>
  <c r="N15" i="52"/>
  <c r="P15" i="52"/>
  <c r="N14" i="52"/>
  <c r="P14" i="52"/>
  <c r="N13" i="52"/>
  <c r="P13" i="52"/>
  <c r="N11" i="52"/>
  <c r="P11" i="52"/>
  <c r="N10" i="52"/>
  <c r="P10" i="52"/>
  <c r="N9" i="52"/>
  <c r="P9" i="52"/>
  <c r="N7" i="52"/>
  <c r="P7" i="52"/>
  <c r="N6" i="52"/>
  <c r="P6" i="52"/>
  <c r="N5" i="52"/>
  <c r="P5" i="52"/>
  <c r="M31" i="47"/>
  <c r="M32" i="51"/>
  <c r="L31" i="47"/>
  <c r="L32" i="51"/>
  <c r="K31" i="47"/>
  <c r="K32" i="51"/>
  <c r="J31" i="47"/>
  <c r="J32" i="51"/>
  <c r="I31" i="47"/>
  <c r="I32" i="51"/>
  <c r="H31" i="47"/>
  <c r="H32" i="51"/>
  <c r="G31" i="47"/>
  <c r="G32" i="51"/>
  <c r="F31" i="47"/>
  <c r="F32" i="51"/>
  <c r="E31" i="47"/>
  <c r="E32" i="51"/>
  <c r="D31" i="47"/>
  <c r="D32" i="51"/>
  <c r="B31" i="47"/>
  <c r="B32" i="51"/>
  <c r="N30" i="51"/>
  <c r="P30" i="51"/>
  <c r="N29" i="51"/>
  <c r="P29" i="51"/>
  <c r="N28" i="51"/>
  <c r="P28" i="51"/>
  <c r="N27" i="51"/>
  <c r="P27" i="51"/>
  <c r="N26" i="51"/>
  <c r="P26" i="51"/>
  <c r="N25" i="51"/>
  <c r="P25" i="51"/>
  <c r="N24" i="51"/>
  <c r="P24" i="51"/>
  <c r="N23" i="51"/>
  <c r="P23" i="51"/>
  <c r="N22" i="51"/>
  <c r="P22" i="51"/>
  <c r="N21" i="51"/>
  <c r="P21" i="51"/>
  <c r="N20" i="51"/>
  <c r="P20" i="51"/>
  <c r="N19" i="51"/>
  <c r="P19" i="51"/>
  <c r="N18" i="51"/>
  <c r="P18" i="51"/>
  <c r="N17" i="51"/>
  <c r="P17" i="51"/>
  <c r="N16" i="51"/>
  <c r="P16" i="51"/>
  <c r="N15" i="51"/>
  <c r="P15" i="51"/>
  <c r="N14" i="51"/>
  <c r="P14" i="51"/>
  <c r="N13" i="51"/>
  <c r="P13" i="51"/>
  <c r="N12" i="51"/>
  <c r="P12" i="51"/>
  <c r="N11" i="51"/>
  <c r="P11" i="51"/>
  <c r="N10" i="51"/>
  <c r="P10" i="51"/>
  <c r="N9" i="51"/>
  <c r="P9" i="51"/>
  <c r="N8" i="51"/>
  <c r="P8" i="51"/>
  <c r="N7" i="51"/>
  <c r="P7" i="51"/>
  <c r="N6" i="51"/>
  <c r="P6" i="51"/>
  <c r="N5" i="51"/>
  <c r="P5" i="51"/>
  <c r="N4" i="51"/>
  <c r="P19" i="54"/>
  <c r="P29" i="54"/>
  <c r="N23" i="50"/>
  <c r="D33" i="49"/>
  <c r="D33" i="44"/>
  <c r="D34" i="49"/>
  <c r="D34" i="52"/>
  <c r="N20" i="50"/>
  <c r="N27" i="50"/>
  <c r="N29" i="50"/>
  <c r="N4" i="50"/>
  <c r="N5" i="50"/>
  <c r="N6" i="50"/>
  <c r="N8" i="50"/>
  <c r="N9" i="50"/>
  <c r="N10" i="50"/>
  <c r="N11" i="50"/>
  <c r="N12" i="50"/>
  <c r="N13" i="50"/>
  <c r="N15" i="50"/>
  <c r="N16" i="50"/>
  <c r="N17" i="50"/>
  <c r="N18" i="50"/>
  <c r="N19" i="50"/>
  <c r="N21" i="50"/>
  <c r="N22" i="50"/>
  <c r="N24" i="50"/>
  <c r="N25" i="50"/>
  <c r="N26" i="50"/>
  <c r="N28" i="50"/>
  <c r="N30" i="50"/>
  <c r="N31" i="50"/>
  <c r="N32" i="50"/>
  <c r="N33" i="50"/>
  <c r="Q29" i="50"/>
  <c r="C33" i="49"/>
  <c r="C34" i="52"/>
  <c r="C31" i="47"/>
  <c r="C32" i="51"/>
  <c r="N33" i="52"/>
  <c r="Q18" i="50"/>
  <c r="P8" i="50"/>
  <c r="P16" i="50"/>
  <c r="B26" i="46"/>
  <c r="O26" i="50"/>
  <c r="P26" i="50"/>
  <c r="Q21" i="50"/>
  <c r="Q9" i="50"/>
  <c r="P4" i="51"/>
  <c r="O32" i="49"/>
  <c r="O31" i="49"/>
  <c r="N31" i="49"/>
  <c r="P31" i="49"/>
  <c r="O30" i="49"/>
  <c r="O29" i="49"/>
  <c r="O28" i="49"/>
  <c r="O27" i="49"/>
  <c r="N27" i="49"/>
  <c r="P27" i="49"/>
  <c r="O26" i="49"/>
  <c r="O25" i="49"/>
  <c r="O24" i="49"/>
  <c r="O23" i="49"/>
  <c r="O22" i="49"/>
  <c r="O21" i="49"/>
  <c r="O20" i="49"/>
  <c r="O19" i="49"/>
  <c r="O18" i="49"/>
  <c r="N18" i="49"/>
  <c r="P18" i="49"/>
  <c r="O17" i="49"/>
  <c r="O16" i="49"/>
  <c r="O15" i="49"/>
  <c r="O14" i="49"/>
  <c r="O13" i="49"/>
  <c r="O12" i="49"/>
  <c r="O11" i="49"/>
  <c r="O10" i="49"/>
  <c r="O9" i="49"/>
  <c r="O8" i="49"/>
  <c r="O7" i="49"/>
  <c r="O6" i="49"/>
  <c r="O4" i="49"/>
  <c r="O5" i="49"/>
  <c r="O33" i="49"/>
  <c r="O39" i="49"/>
  <c r="O30" i="47"/>
  <c r="O29" i="47"/>
  <c r="O28" i="47"/>
  <c r="O27" i="47"/>
  <c r="O26" i="47"/>
  <c r="O25" i="47"/>
  <c r="O24" i="47"/>
  <c r="O23" i="47"/>
  <c r="N23" i="47"/>
  <c r="P23" i="47"/>
  <c r="O22" i="47"/>
  <c r="O21" i="47"/>
  <c r="O20" i="47"/>
  <c r="O19" i="47"/>
  <c r="N19" i="47"/>
  <c r="P19" i="47"/>
  <c r="O18" i="47"/>
  <c r="O17" i="47"/>
  <c r="O16" i="47"/>
  <c r="O15" i="47"/>
  <c r="O14" i="47"/>
  <c r="O13" i="47"/>
  <c r="O12" i="47"/>
  <c r="O11" i="47"/>
  <c r="O10" i="47"/>
  <c r="O9" i="47"/>
  <c r="O8" i="47"/>
  <c r="O7" i="47"/>
  <c r="O6" i="47"/>
  <c r="O4" i="47"/>
  <c r="O5" i="47"/>
  <c r="O31" i="47"/>
  <c r="M31" i="42"/>
  <c r="M32" i="47"/>
  <c r="P6" i="50"/>
  <c r="P15" i="50"/>
  <c r="P4" i="50"/>
  <c r="Q8" i="50"/>
  <c r="L31" i="42"/>
  <c r="L32" i="47"/>
  <c r="J31" i="42"/>
  <c r="J32" i="47"/>
  <c r="H31" i="42"/>
  <c r="H32" i="47"/>
  <c r="H47" i="49"/>
  <c r="H48" i="49"/>
  <c r="H49" i="49"/>
  <c r="I49" i="49"/>
  <c r="C49" i="49"/>
  <c r="D49" i="49"/>
  <c r="E49" i="49"/>
  <c r="F49" i="49"/>
  <c r="G49" i="49"/>
  <c r="B49" i="49"/>
  <c r="G31" i="42"/>
  <c r="E31" i="42"/>
  <c r="E32" i="47"/>
  <c r="D31" i="42"/>
  <c r="D32" i="47"/>
  <c r="C31" i="42"/>
  <c r="C32" i="47"/>
  <c r="C40" i="49"/>
  <c r="D40" i="49"/>
  <c r="E40" i="49"/>
  <c r="F40" i="49"/>
  <c r="G40" i="49"/>
  <c r="H40" i="49"/>
  <c r="I40" i="49"/>
  <c r="J40" i="49"/>
  <c r="K40" i="49"/>
  <c r="L40" i="49"/>
  <c r="M40" i="49"/>
  <c r="B40" i="49"/>
  <c r="O32" i="50"/>
  <c r="B31" i="46"/>
  <c r="O30" i="50"/>
  <c r="P30" i="50"/>
  <c r="B29" i="46"/>
  <c r="O28" i="50"/>
  <c r="P28" i="50"/>
  <c r="O27" i="50"/>
  <c r="P27" i="50"/>
  <c r="B25" i="46"/>
  <c r="N25" i="46"/>
  <c r="O24" i="50"/>
  <c r="P24" i="50"/>
  <c r="B23" i="46"/>
  <c r="B22" i="46"/>
  <c r="O21" i="50"/>
  <c r="B20" i="46"/>
  <c r="B19" i="46"/>
  <c r="N19" i="46"/>
  <c r="O18" i="50"/>
  <c r="O17" i="50"/>
  <c r="P17" i="50"/>
  <c r="O13" i="50"/>
  <c r="P13" i="50"/>
  <c r="B12" i="46"/>
  <c r="B11" i="46"/>
  <c r="O10" i="50"/>
  <c r="P10" i="50"/>
  <c r="O9" i="50"/>
  <c r="O12" i="50"/>
  <c r="P12" i="50"/>
  <c r="O23" i="50"/>
  <c r="P23" i="50"/>
  <c r="O31" i="50"/>
  <c r="P31" i="50"/>
  <c r="O25" i="50"/>
  <c r="P25" i="50"/>
  <c r="O19" i="50"/>
  <c r="P19" i="50"/>
  <c r="O20" i="50"/>
  <c r="P20" i="50"/>
  <c r="O29" i="50"/>
  <c r="P29" i="50"/>
  <c r="N39" i="49"/>
  <c r="P39" i="49"/>
  <c r="M33" i="44"/>
  <c r="M34" i="49"/>
  <c r="L33" i="44"/>
  <c r="L34" i="49"/>
  <c r="K33" i="44"/>
  <c r="K34" i="49"/>
  <c r="J33" i="44"/>
  <c r="J34" i="49"/>
  <c r="I33" i="44"/>
  <c r="I34" i="49"/>
  <c r="H33" i="44"/>
  <c r="H34" i="49"/>
  <c r="G33" i="44"/>
  <c r="G34" i="49"/>
  <c r="F33" i="44"/>
  <c r="F34" i="49"/>
  <c r="E33" i="44"/>
  <c r="E34" i="49"/>
  <c r="C33" i="44"/>
  <c r="C34" i="49"/>
  <c r="N32" i="49"/>
  <c r="P32" i="49"/>
  <c r="N30" i="49"/>
  <c r="P30" i="49"/>
  <c r="N29" i="49"/>
  <c r="P29" i="49"/>
  <c r="N28" i="49"/>
  <c r="P28" i="49"/>
  <c r="N26" i="49"/>
  <c r="P26" i="49"/>
  <c r="N25" i="49"/>
  <c r="P25" i="49"/>
  <c r="N24" i="49"/>
  <c r="P24" i="49"/>
  <c r="N23" i="49"/>
  <c r="N22" i="49"/>
  <c r="P22" i="49"/>
  <c r="N21" i="49"/>
  <c r="P21" i="49"/>
  <c r="N20" i="49"/>
  <c r="P20" i="49"/>
  <c r="N19" i="49"/>
  <c r="N17" i="49"/>
  <c r="P17" i="49"/>
  <c r="N16" i="49"/>
  <c r="P16" i="49"/>
  <c r="N15" i="49"/>
  <c r="P15" i="49"/>
  <c r="N14" i="49"/>
  <c r="P14" i="49"/>
  <c r="N13" i="49"/>
  <c r="P13" i="49"/>
  <c r="N12" i="49"/>
  <c r="P12" i="49"/>
  <c r="N11" i="49"/>
  <c r="P11" i="49"/>
  <c r="N10" i="49"/>
  <c r="P10" i="49"/>
  <c r="N9" i="49"/>
  <c r="P9" i="49"/>
  <c r="N8" i="49"/>
  <c r="P8" i="49"/>
  <c r="N7" i="49"/>
  <c r="N6" i="49"/>
  <c r="P6" i="49"/>
  <c r="N5" i="49"/>
  <c r="P5" i="49"/>
  <c r="N4" i="49"/>
  <c r="P4" i="49"/>
  <c r="D33" i="46"/>
  <c r="K31" i="42"/>
  <c r="K32" i="47"/>
  <c r="I31" i="42"/>
  <c r="I32" i="47"/>
  <c r="F31" i="42"/>
  <c r="F32" i="47"/>
  <c r="B31" i="42"/>
  <c r="B32" i="47"/>
  <c r="N30" i="47"/>
  <c r="N29" i="47"/>
  <c r="P29" i="47"/>
  <c r="N28" i="47"/>
  <c r="N27" i="47"/>
  <c r="N26" i="47"/>
  <c r="P26" i="47"/>
  <c r="N25" i="47"/>
  <c r="P25" i="47"/>
  <c r="N24" i="47"/>
  <c r="P24" i="47"/>
  <c r="N22" i="47"/>
  <c r="P22" i="47"/>
  <c r="N21" i="47"/>
  <c r="P21" i="47"/>
  <c r="N20" i="47"/>
  <c r="P20" i="47"/>
  <c r="N18" i="47"/>
  <c r="P18" i="47"/>
  <c r="N17" i="47"/>
  <c r="P17" i="47"/>
  <c r="N16" i="47"/>
  <c r="P16" i="47"/>
  <c r="N15" i="47"/>
  <c r="P15" i="47"/>
  <c r="N14" i="47"/>
  <c r="N13" i="47"/>
  <c r="P13" i="47"/>
  <c r="N12" i="47"/>
  <c r="P12" i="47"/>
  <c r="N11" i="47"/>
  <c r="N10" i="47"/>
  <c r="P10" i="47"/>
  <c r="N9" i="47"/>
  <c r="P9" i="47"/>
  <c r="N8" i="47"/>
  <c r="P8" i="47"/>
  <c r="N7" i="47"/>
  <c r="P7" i="47"/>
  <c r="N6" i="47"/>
  <c r="N5" i="47"/>
  <c r="N4" i="47"/>
  <c r="P4" i="47"/>
  <c r="C33" i="46"/>
  <c r="N32" i="46"/>
  <c r="N31" i="46"/>
  <c r="N30" i="46"/>
  <c r="N29" i="46"/>
  <c r="N28" i="46"/>
  <c r="N27" i="46"/>
  <c r="N26" i="46"/>
  <c r="N24" i="46"/>
  <c r="N23" i="46"/>
  <c r="N21" i="46"/>
  <c r="N20" i="46"/>
  <c r="N18" i="46"/>
  <c r="N17" i="46"/>
  <c r="N16" i="46"/>
  <c r="N15" i="46"/>
  <c r="N14" i="46"/>
  <c r="N13" i="46"/>
  <c r="N12" i="46"/>
  <c r="N11" i="46"/>
  <c r="N10" i="46"/>
  <c r="N9" i="46"/>
  <c r="N8" i="46"/>
  <c r="N7" i="46"/>
  <c r="N6" i="46"/>
  <c r="N5" i="46"/>
  <c r="M33" i="46"/>
  <c r="M34" i="50"/>
  <c r="L33" i="46"/>
  <c r="L34" i="50"/>
  <c r="K33" i="46"/>
  <c r="K34" i="50"/>
  <c r="J33" i="46"/>
  <c r="I33" i="46"/>
  <c r="H33" i="46"/>
  <c r="G33" i="46"/>
  <c r="F33" i="46"/>
  <c r="E33" i="46"/>
  <c r="P19" i="49"/>
  <c r="P7" i="49"/>
  <c r="P23" i="49"/>
  <c r="P11" i="47"/>
  <c r="P27" i="47"/>
  <c r="P28" i="47"/>
  <c r="P30" i="47"/>
  <c r="P14" i="47"/>
  <c r="N4" i="46"/>
  <c r="B5" i="41"/>
  <c r="O5" i="45"/>
  <c r="B6" i="41"/>
  <c r="O6" i="45"/>
  <c r="B7" i="41"/>
  <c r="O7" i="45"/>
  <c r="B8" i="41"/>
  <c r="O8" i="45"/>
  <c r="B14" i="41"/>
  <c r="O14" i="45"/>
  <c r="B15" i="41"/>
  <c r="O15" i="45"/>
  <c r="B16" i="41"/>
  <c r="O16" i="45"/>
  <c r="B17" i="41"/>
  <c r="O17" i="45"/>
  <c r="B4" i="41"/>
  <c r="O4" i="45"/>
  <c r="M33" i="40"/>
  <c r="M34" i="44"/>
  <c r="O5" i="44"/>
  <c r="O6" i="44"/>
  <c r="O7" i="44"/>
  <c r="O8" i="44"/>
  <c r="O9" i="44"/>
  <c r="O10" i="44"/>
  <c r="O11" i="44"/>
  <c r="O12" i="44"/>
  <c r="O13" i="44"/>
  <c r="O14" i="44"/>
  <c r="O15" i="44"/>
  <c r="O16" i="44"/>
  <c r="O17" i="44"/>
  <c r="O18" i="44"/>
  <c r="O19" i="44"/>
  <c r="O20" i="44"/>
  <c r="O21" i="44"/>
  <c r="O22" i="44"/>
  <c r="O23" i="44"/>
  <c r="O24" i="44"/>
  <c r="O25" i="44"/>
  <c r="O26" i="44"/>
  <c r="O27" i="44"/>
  <c r="O28" i="44"/>
  <c r="O29" i="44"/>
  <c r="O30" i="44"/>
  <c r="O31" i="44"/>
  <c r="O32" i="44"/>
  <c r="O4" i="44"/>
  <c r="M40" i="44"/>
  <c r="O39" i="44"/>
  <c r="M31" i="38"/>
  <c r="M32" i="42"/>
  <c r="O5" i="42"/>
  <c r="O6" i="42"/>
  <c r="O7" i="42"/>
  <c r="O8" i="42"/>
  <c r="O9" i="42"/>
  <c r="O10" i="42"/>
  <c r="O11" i="42"/>
  <c r="O12" i="42"/>
  <c r="O13" i="42"/>
  <c r="O14" i="42"/>
  <c r="O15" i="42"/>
  <c r="O16" i="42"/>
  <c r="O17" i="42"/>
  <c r="O18" i="42"/>
  <c r="O19" i="42"/>
  <c r="O20" i="42"/>
  <c r="O21" i="42"/>
  <c r="O22" i="42"/>
  <c r="O23" i="42"/>
  <c r="O24" i="42"/>
  <c r="O25" i="42"/>
  <c r="O26" i="42"/>
  <c r="O27" i="42"/>
  <c r="O28" i="42"/>
  <c r="O29" i="42"/>
  <c r="O30" i="42"/>
  <c r="O4" i="42"/>
  <c r="N20" i="42"/>
  <c r="P20" i="42"/>
  <c r="L33" i="40"/>
  <c r="L34" i="44"/>
  <c r="L40" i="44"/>
  <c r="N9" i="42"/>
  <c r="P9" i="42"/>
  <c r="N13" i="42"/>
  <c r="P13" i="42"/>
  <c r="L31" i="38"/>
  <c r="L32" i="42"/>
  <c r="N5" i="13"/>
  <c r="N6" i="13"/>
  <c r="N7" i="13"/>
  <c r="P7" i="13"/>
  <c r="N8" i="13"/>
  <c r="N9" i="13"/>
  <c r="N4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P11" i="13"/>
  <c r="P12" i="13"/>
  <c r="P15" i="13"/>
  <c r="P18" i="13"/>
  <c r="P19" i="13"/>
  <c r="P22" i="13"/>
  <c r="P23" i="13"/>
  <c r="P24" i="13"/>
  <c r="P28" i="13"/>
  <c r="P29" i="13"/>
  <c r="P31" i="13"/>
  <c r="O5" i="20"/>
  <c r="O6" i="20"/>
  <c r="N6" i="20"/>
  <c r="P6" i="20"/>
  <c r="O7" i="20"/>
  <c r="N7" i="20"/>
  <c r="P7" i="20"/>
  <c r="O8" i="20"/>
  <c r="O9" i="20"/>
  <c r="O10" i="20"/>
  <c r="O11" i="20"/>
  <c r="N11" i="20"/>
  <c r="P11" i="20"/>
  <c r="O12" i="20"/>
  <c r="O13" i="20"/>
  <c r="O14" i="20"/>
  <c r="O15" i="20"/>
  <c r="N15" i="20"/>
  <c r="P15" i="20"/>
  <c r="O16" i="20"/>
  <c r="O17" i="20"/>
  <c r="O18" i="20"/>
  <c r="O19" i="20"/>
  <c r="N19" i="20"/>
  <c r="P19" i="20"/>
  <c r="O20" i="20"/>
  <c r="O21" i="20"/>
  <c r="O22" i="20"/>
  <c r="N22" i="20"/>
  <c r="P22" i="20"/>
  <c r="O23" i="20"/>
  <c r="N23" i="20"/>
  <c r="P23" i="20"/>
  <c r="O24" i="20"/>
  <c r="O25" i="20"/>
  <c r="O26" i="20"/>
  <c r="O27" i="20"/>
  <c r="N27" i="20"/>
  <c r="P27" i="20"/>
  <c r="O28" i="20"/>
  <c r="O29" i="20"/>
  <c r="O30" i="20"/>
  <c r="O31" i="20"/>
  <c r="N31" i="20"/>
  <c r="P31" i="20"/>
  <c r="K33" i="40"/>
  <c r="K34" i="44"/>
  <c r="K40" i="44"/>
  <c r="J40" i="44"/>
  <c r="I40" i="44"/>
  <c r="B33" i="44"/>
  <c r="B33" i="40"/>
  <c r="B34" i="44"/>
  <c r="H40" i="44"/>
  <c r="G40" i="44"/>
  <c r="B40" i="44"/>
  <c r="C40" i="44"/>
  <c r="D40" i="44"/>
  <c r="E40" i="44"/>
  <c r="F40" i="44"/>
  <c r="B20" i="41"/>
  <c r="D33" i="40"/>
  <c r="D33" i="35"/>
  <c r="D34" i="40"/>
  <c r="O9" i="46"/>
  <c r="O10" i="46"/>
  <c r="B12" i="45"/>
  <c r="B11" i="45"/>
  <c r="O28" i="46"/>
  <c r="O13" i="46"/>
  <c r="B20" i="45"/>
  <c r="B4" i="45"/>
  <c r="O4" i="46"/>
  <c r="P4" i="46"/>
  <c r="B5" i="45"/>
  <c r="O5" i="46"/>
  <c r="P5" i="46"/>
  <c r="B6" i="45"/>
  <c r="O6" i="46"/>
  <c r="P6" i="46"/>
  <c r="B7" i="45"/>
  <c r="O7" i="46"/>
  <c r="P7" i="46"/>
  <c r="B8" i="45"/>
  <c r="O8" i="46"/>
  <c r="P8" i="46"/>
  <c r="B14" i="45"/>
  <c r="N14" i="45"/>
  <c r="P14" i="45"/>
  <c r="B15" i="45"/>
  <c r="O15" i="46"/>
  <c r="P15" i="46"/>
  <c r="B16" i="45"/>
  <c r="O16" i="46"/>
  <c r="P16" i="46"/>
  <c r="O17" i="46"/>
  <c r="P17" i="46"/>
  <c r="O18" i="46"/>
  <c r="B19" i="45"/>
  <c r="O21" i="46"/>
  <c r="B22" i="45"/>
  <c r="B23" i="45"/>
  <c r="O24" i="46"/>
  <c r="B25" i="45"/>
  <c r="B26" i="45"/>
  <c r="O27" i="46"/>
  <c r="B29" i="45"/>
  <c r="O30" i="46"/>
  <c r="B31" i="45"/>
  <c r="O32" i="46"/>
  <c r="C33" i="40"/>
  <c r="C34" i="44"/>
  <c r="O21" i="28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B33" i="7"/>
  <c r="C33" i="7"/>
  <c r="D33" i="7"/>
  <c r="E33" i="7"/>
  <c r="E33" i="8"/>
  <c r="E34" i="8"/>
  <c r="F33" i="7"/>
  <c r="G33" i="7"/>
  <c r="H33" i="7"/>
  <c r="I33" i="7"/>
  <c r="J33" i="7"/>
  <c r="K33" i="7"/>
  <c r="L33" i="7"/>
  <c r="M33" i="7"/>
  <c r="N33" i="7"/>
  <c r="O33" i="7"/>
  <c r="N39" i="7"/>
  <c r="O39" i="7"/>
  <c r="O4" i="8"/>
  <c r="P4" i="8"/>
  <c r="O5" i="8"/>
  <c r="P5" i="8"/>
  <c r="O6" i="8"/>
  <c r="P6" i="8"/>
  <c r="O7" i="8"/>
  <c r="P7" i="8"/>
  <c r="O8" i="8"/>
  <c r="P8" i="8"/>
  <c r="O9" i="8"/>
  <c r="P9" i="8"/>
  <c r="O10" i="8"/>
  <c r="P10" i="8"/>
  <c r="O11" i="8"/>
  <c r="P11" i="8"/>
  <c r="O12" i="8"/>
  <c r="P12" i="8"/>
  <c r="O13" i="8"/>
  <c r="P13" i="8"/>
  <c r="O14" i="8"/>
  <c r="P14" i="8"/>
  <c r="O15" i="8"/>
  <c r="P15" i="8"/>
  <c r="O16" i="8"/>
  <c r="P16" i="8"/>
  <c r="O17" i="8"/>
  <c r="P17" i="8"/>
  <c r="O18" i="8"/>
  <c r="P18" i="8"/>
  <c r="O19" i="8"/>
  <c r="P19" i="8"/>
  <c r="O20" i="8"/>
  <c r="P20" i="8"/>
  <c r="O21" i="8"/>
  <c r="P21" i="8"/>
  <c r="O22" i="8"/>
  <c r="P22" i="8"/>
  <c r="O23" i="8"/>
  <c r="P23" i="8"/>
  <c r="O24" i="8"/>
  <c r="P24" i="8"/>
  <c r="O25" i="8"/>
  <c r="P25" i="8"/>
  <c r="O26" i="8"/>
  <c r="P26" i="8"/>
  <c r="O27" i="8"/>
  <c r="P27" i="8"/>
  <c r="O28" i="8"/>
  <c r="P28" i="8"/>
  <c r="O29" i="8"/>
  <c r="P29" i="8"/>
  <c r="O30" i="8"/>
  <c r="P30" i="8"/>
  <c r="O31" i="8"/>
  <c r="P31" i="8"/>
  <c r="O32" i="8"/>
  <c r="P32" i="8"/>
  <c r="B33" i="8"/>
  <c r="C33" i="8"/>
  <c r="D33" i="8"/>
  <c r="D33" i="20"/>
  <c r="D34" i="20"/>
  <c r="F33" i="8"/>
  <c r="G33" i="8"/>
  <c r="G33" i="13"/>
  <c r="G34" i="13"/>
  <c r="H33" i="8"/>
  <c r="I33" i="8"/>
  <c r="I34" i="8"/>
  <c r="J33" i="8"/>
  <c r="J33" i="13"/>
  <c r="J34" i="13"/>
  <c r="K33" i="8"/>
  <c r="L33" i="8"/>
  <c r="M33" i="8"/>
  <c r="H34" i="8"/>
  <c r="N39" i="8"/>
  <c r="O39" i="8"/>
  <c r="B40" i="8"/>
  <c r="C40" i="8"/>
  <c r="D40" i="8"/>
  <c r="E40" i="8"/>
  <c r="F40" i="8"/>
  <c r="G40" i="8"/>
  <c r="H40" i="8"/>
  <c r="I40" i="8"/>
  <c r="J40" i="8"/>
  <c r="K40" i="8"/>
  <c r="L40" i="8"/>
  <c r="M40" i="8"/>
  <c r="P4" i="13"/>
  <c r="P5" i="13"/>
  <c r="P6" i="13"/>
  <c r="P8" i="13"/>
  <c r="P9" i="13"/>
  <c r="P10" i="13"/>
  <c r="P13" i="13"/>
  <c r="P14" i="13"/>
  <c r="P16" i="13"/>
  <c r="P17" i="13"/>
  <c r="P20" i="13"/>
  <c r="P21" i="13"/>
  <c r="P25" i="13"/>
  <c r="P26" i="13"/>
  <c r="P30" i="13"/>
  <c r="P32" i="13"/>
  <c r="B33" i="13"/>
  <c r="B34" i="13"/>
  <c r="C33" i="13"/>
  <c r="D33" i="13"/>
  <c r="D34" i="13"/>
  <c r="E33" i="13"/>
  <c r="E34" i="13"/>
  <c r="F33" i="13"/>
  <c r="H33" i="13"/>
  <c r="I33" i="13"/>
  <c r="I34" i="13"/>
  <c r="K33" i="13"/>
  <c r="K34" i="13"/>
  <c r="L33" i="13"/>
  <c r="L34" i="13"/>
  <c r="M33" i="13"/>
  <c r="M34" i="13"/>
  <c r="N39" i="13"/>
  <c r="N40" i="13"/>
  <c r="O39" i="13"/>
  <c r="B40" i="13"/>
  <c r="C40" i="13"/>
  <c r="D40" i="13"/>
  <c r="E40" i="13"/>
  <c r="F40" i="13"/>
  <c r="G40" i="13"/>
  <c r="H40" i="13"/>
  <c r="I40" i="13"/>
  <c r="J40" i="13"/>
  <c r="K40" i="13"/>
  <c r="L40" i="13"/>
  <c r="M40" i="13"/>
  <c r="N4" i="20"/>
  <c r="O4" i="20"/>
  <c r="P4" i="20"/>
  <c r="N5" i="20"/>
  <c r="P5" i="20"/>
  <c r="N8" i="20"/>
  <c r="P8" i="20"/>
  <c r="N9" i="20"/>
  <c r="P9" i="20"/>
  <c r="N10" i="20"/>
  <c r="N12" i="20"/>
  <c r="P12" i="20"/>
  <c r="N13" i="20"/>
  <c r="P13" i="20"/>
  <c r="N14" i="20"/>
  <c r="N16" i="20"/>
  <c r="N17" i="20"/>
  <c r="P17" i="20"/>
  <c r="N18" i="20"/>
  <c r="P18" i="20"/>
  <c r="N20" i="20"/>
  <c r="N21" i="20"/>
  <c r="P21" i="20"/>
  <c r="N24" i="20"/>
  <c r="P24" i="20"/>
  <c r="N25" i="20"/>
  <c r="N26" i="20"/>
  <c r="P26" i="20"/>
  <c r="N28" i="20"/>
  <c r="P28" i="20"/>
  <c r="N29" i="20"/>
  <c r="N30" i="20"/>
  <c r="P30" i="20"/>
  <c r="N32" i="20"/>
  <c r="O32" i="20"/>
  <c r="B33" i="20"/>
  <c r="B34" i="20"/>
  <c r="C33" i="20"/>
  <c r="E33" i="20"/>
  <c r="E34" i="20"/>
  <c r="F33" i="20"/>
  <c r="G33" i="20"/>
  <c r="H33" i="20"/>
  <c r="I33" i="20"/>
  <c r="J33" i="20"/>
  <c r="J34" i="20"/>
  <c r="K33" i="20"/>
  <c r="L33" i="20"/>
  <c r="L34" i="20"/>
  <c r="M33" i="20"/>
  <c r="N39" i="20"/>
  <c r="O39" i="20"/>
  <c r="P39" i="20"/>
  <c r="B40" i="20"/>
  <c r="C40" i="20"/>
  <c r="D40" i="20"/>
  <c r="E40" i="20"/>
  <c r="F40" i="20"/>
  <c r="G40" i="20"/>
  <c r="H40" i="20"/>
  <c r="I40" i="20"/>
  <c r="J40" i="20"/>
  <c r="K40" i="20"/>
  <c r="L40" i="20"/>
  <c r="M40" i="20"/>
  <c r="N47" i="20"/>
  <c r="B48" i="20"/>
  <c r="C48" i="20"/>
  <c r="D48" i="20"/>
  <c r="E48" i="20"/>
  <c r="F48" i="20"/>
  <c r="G48" i="20"/>
  <c r="H48" i="20"/>
  <c r="I48" i="20"/>
  <c r="J48" i="20"/>
  <c r="K48" i="20"/>
  <c r="L48" i="20"/>
  <c r="M48" i="20"/>
  <c r="N4" i="21"/>
  <c r="O4" i="21"/>
  <c r="P4" i="21"/>
  <c r="N5" i="21"/>
  <c r="O5" i="21"/>
  <c r="N6" i="21"/>
  <c r="O6" i="21"/>
  <c r="N7" i="21"/>
  <c r="O7" i="21"/>
  <c r="P7" i="21"/>
  <c r="N8" i="21"/>
  <c r="O8" i="21"/>
  <c r="N9" i="21"/>
  <c r="O9" i="21"/>
  <c r="P9" i="21"/>
  <c r="N10" i="21"/>
  <c r="O10" i="21"/>
  <c r="N11" i="21"/>
  <c r="O11" i="21"/>
  <c r="P11" i="21"/>
  <c r="N12" i="21"/>
  <c r="O12" i="21"/>
  <c r="P12" i="21"/>
  <c r="N13" i="21"/>
  <c r="O13" i="21"/>
  <c r="P13" i="21"/>
  <c r="N14" i="21"/>
  <c r="O14" i="21"/>
  <c r="N15" i="21"/>
  <c r="O15" i="21"/>
  <c r="P15" i="21"/>
  <c r="N16" i="21"/>
  <c r="O16" i="21"/>
  <c r="N17" i="21"/>
  <c r="O17" i="21"/>
  <c r="P17" i="21"/>
  <c r="N18" i="21"/>
  <c r="O18" i="21"/>
  <c r="P18" i="21"/>
  <c r="N19" i="21"/>
  <c r="O19" i="21"/>
  <c r="N20" i="21"/>
  <c r="O20" i="21"/>
  <c r="N21" i="21"/>
  <c r="O21" i="21"/>
  <c r="N22" i="21"/>
  <c r="O22" i="21"/>
  <c r="N23" i="21"/>
  <c r="O23" i="21"/>
  <c r="P23" i="21"/>
  <c r="N24" i="21"/>
  <c r="O24" i="21"/>
  <c r="N25" i="21"/>
  <c r="O25" i="21"/>
  <c r="P25" i="21"/>
  <c r="N26" i="21"/>
  <c r="O26" i="21"/>
  <c r="P26" i="21"/>
  <c r="N27" i="21"/>
  <c r="O27" i="21"/>
  <c r="P27" i="21"/>
  <c r="N28" i="21"/>
  <c r="O28" i="21"/>
  <c r="N29" i="21"/>
  <c r="O29" i="21"/>
  <c r="N30" i="21"/>
  <c r="O30" i="21"/>
  <c r="P30" i="21"/>
  <c r="N31" i="21"/>
  <c r="O31" i="21"/>
  <c r="P31" i="21"/>
  <c r="N32" i="21"/>
  <c r="O32" i="21"/>
  <c r="B33" i="21"/>
  <c r="C33" i="21"/>
  <c r="C33" i="25"/>
  <c r="C34" i="25"/>
  <c r="D33" i="21"/>
  <c r="D33" i="25"/>
  <c r="D34" i="25"/>
  <c r="E33" i="21"/>
  <c r="F33" i="21"/>
  <c r="G33" i="21"/>
  <c r="G33" i="25"/>
  <c r="G34" i="25"/>
  <c r="G34" i="21"/>
  <c r="H33" i="21"/>
  <c r="H34" i="21"/>
  <c r="I33" i="21"/>
  <c r="I34" i="21"/>
  <c r="J33" i="21"/>
  <c r="K33" i="21"/>
  <c r="L33" i="21"/>
  <c r="M33" i="21"/>
  <c r="M33" i="25"/>
  <c r="M34" i="25"/>
  <c r="N39" i="21"/>
  <c r="N39" i="25"/>
  <c r="N40" i="25"/>
  <c r="O39" i="21"/>
  <c r="B40" i="21"/>
  <c r="C40" i="21"/>
  <c r="D40" i="21"/>
  <c r="E40" i="21"/>
  <c r="F40" i="21"/>
  <c r="G40" i="21"/>
  <c r="H40" i="21"/>
  <c r="I40" i="21"/>
  <c r="J40" i="21"/>
  <c r="K40" i="21"/>
  <c r="L40" i="21"/>
  <c r="M40" i="21"/>
  <c r="N4" i="25"/>
  <c r="O4" i="25"/>
  <c r="N5" i="25"/>
  <c r="O5" i="25"/>
  <c r="N6" i="25"/>
  <c r="O6" i="25"/>
  <c r="N7" i="25"/>
  <c r="O7" i="25"/>
  <c r="N8" i="25"/>
  <c r="O8" i="25"/>
  <c r="P8" i="25"/>
  <c r="N9" i="25"/>
  <c r="O9" i="25"/>
  <c r="N10" i="25"/>
  <c r="O10" i="25"/>
  <c r="P10" i="25"/>
  <c r="N11" i="25"/>
  <c r="O11" i="25"/>
  <c r="P11" i="25"/>
  <c r="N12" i="25"/>
  <c r="O12" i="25"/>
  <c r="P12" i="25"/>
  <c r="N13" i="25"/>
  <c r="O13" i="25"/>
  <c r="P13" i="25"/>
  <c r="N14" i="25"/>
  <c r="O14" i="25"/>
  <c r="P14" i="25"/>
  <c r="N15" i="25"/>
  <c r="O15" i="25"/>
  <c r="N16" i="25"/>
  <c r="O16" i="25"/>
  <c r="P16" i="25"/>
  <c r="N17" i="25"/>
  <c r="O17" i="25"/>
  <c r="N18" i="25"/>
  <c r="O18" i="25"/>
  <c r="N19" i="25"/>
  <c r="O19" i="25"/>
  <c r="P19" i="25"/>
  <c r="N20" i="25"/>
  <c r="O20" i="25"/>
  <c r="P20" i="25"/>
  <c r="N21" i="25"/>
  <c r="O21" i="25"/>
  <c r="P21" i="25"/>
  <c r="N22" i="25"/>
  <c r="O22" i="25"/>
  <c r="P22" i="25"/>
  <c r="N23" i="25"/>
  <c r="O23" i="25"/>
  <c r="P23" i="25"/>
  <c r="N24" i="25"/>
  <c r="O24" i="25"/>
  <c r="P24" i="25"/>
  <c r="N25" i="25"/>
  <c r="O25" i="25"/>
  <c r="N26" i="25"/>
  <c r="O26" i="25"/>
  <c r="P26" i="25"/>
  <c r="N27" i="25"/>
  <c r="O27" i="25"/>
  <c r="N28" i="25"/>
  <c r="O28" i="25"/>
  <c r="N29" i="25"/>
  <c r="O29" i="25"/>
  <c r="N30" i="25"/>
  <c r="O30" i="25"/>
  <c r="P30" i="25"/>
  <c r="N31" i="25"/>
  <c r="O31" i="25"/>
  <c r="N32" i="25"/>
  <c r="O32" i="25"/>
  <c r="P32" i="25"/>
  <c r="B33" i="25"/>
  <c r="B34" i="25"/>
  <c r="E33" i="25"/>
  <c r="F33" i="25"/>
  <c r="H33" i="25"/>
  <c r="I33" i="25"/>
  <c r="J33" i="25"/>
  <c r="K33" i="25"/>
  <c r="K34" i="25"/>
  <c r="L33" i="25"/>
  <c r="H34" i="25"/>
  <c r="O39" i="25"/>
  <c r="P39" i="25"/>
  <c r="B40" i="25"/>
  <c r="C40" i="25"/>
  <c r="D40" i="25"/>
  <c r="E40" i="25"/>
  <c r="F40" i="25"/>
  <c r="G40" i="25"/>
  <c r="H40" i="25"/>
  <c r="I40" i="25"/>
  <c r="J40" i="25"/>
  <c r="K40" i="25"/>
  <c r="L40" i="25"/>
  <c r="M40" i="25"/>
  <c r="N47" i="25"/>
  <c r="O47" i="25"/>
  <c r="N4" i="29"/>
  <c r="O4" i="29"/>
  <c r="N5" i="29"/>
  <c r="O5" i="29"/>
  <c r="P5" i="29"/>
  <c r="N6" i="29"/>
  <c r="O6" i="29"/>
  <c r="N7" i="29"/>
  <c r="O7" i="29"/>
  <c r="P7" i="29"/>
  <c r="N8" i="29"/>
  <c r="O8" i="29"/>
  <c r="P8" i="29"/>
  <c r="N9" i="29"/>
  <c r="O9" i="29"/>
  <c r="P9" i="29"/>
  <c r="N10" i="29"/>
  <c r="O10" i="29"/>
  <c r="P10" i="29"/>
  <c r="N11" i="29"/>
  <c r="O11" i="29"/>
  <c r="N12" i="29"/>
  <c r="O12" i="29"/>
  <c r="P12" i="29"/>
  <c r="N13" i="29"/>
  <c r="O13" i="29"/>
  <c r="P13" i="29"/>
  <c r="N14" i="29"/>
  <c r="O14" i="29"/>
  <c r="P14" i="29"/>
  <c r="N15" i="29"/>
  <c r="O15" i="29"/>
  <c r="N16" i="29"/>
  <c r="O16" i="29"/>
  <c r="P16" i="29"/>
  <c r="N17" i="29"/>
  <c r="O17" i="29"/>
  <c r="N18" i="29"/>
  <c r="O18" i="29"/>
  <c r="N19" i="29"/>
  <c r="O19" i="29"/>
  <c r="P19" i="29"/>
  <c r="N20" i="29"/>
  <c r="O20" i="29"/>
  <c r="P20" i="29"/>
  <c r="N21" i="29"/>
  <c r="O21" i="29"/>
  <c r="N22" i="29"/>
  <c r="O22" i="29"/>
  <c r="N23" i="29"/>
  <c r="O23" i="29"/>
  <c r="P23" i="29"/>
  <c r="N24" i="29"/>
  <c r="O24" i="29"/>
  <c r="P24" i="29"/>
  <c r="N25" i="29"/>
  <c r="O25" i="29"/>
  <c r="N26" i="29"/>
  <c r="O26" i="29"/>
  <c r="N27" i="29"/>
  <c r="O27" i="29"/>
  <c r="P27" i="29"/>
  <c r="N28" i="29"/>
  <c r="O28" i="29"/>
  <c r="P28" i="29"/>
  <c r="N29" i="29"/>
  <c r="O29" i="29"/>
  <c r="N30" i="29"/>
  <c r="O30" i="29"/>
  <c r="N31" i="29"/>
  <c r="O31" i="29"/>
  <c r="N32" i="29"/>
  <c r="O32" i="29"/>
  <c r="B33" i="29"/>
  <c r="B34" i="29"/>
  <c r="C33" i="29"/>
  <c r="C34" i="29"/>
  <c r="D33" i="29"/>
  <c r="E33" i="29"/>
  <c r="F33" i="29"/>
  <c r="F34" i="29"/>
  <c r="G33" i="29"/>
  <c r="G34" i="29"/>
  <c r="H33" i="29"/>
  <c r="H34" i="29"/>
  <c r="I33" i="29"/>
  <c r="J33" i="29"/>
  <c r="K33" i="29"/>
  <c r="K34" i="29"/>
  <c r="L33" i="29"/>
  <c r="M33" i="29"/>
  <c r="N39" i="29"/>
  <c r="O39" i="29"/>
  <c r="P39" i="29"/>
  <c r="B40" i="29"/>
  <c r="C40" i="29"/>
  <c r="D40" i="29"/>
  <c r="E40" i="29"/>
  <c r="F40" i="29"/>
  <c r="G40" i="29"/>
  <c r="H40" i="29"/>
  <c r="I40" i="29"/>
  <c r="J40" i="29"/>
  <c r="K40" i="29"/>
  <c r="L40" i="29"/>
  <c r="M40" i="29"/>
  <c r="N4" i="35"/>
  <c r="O4" i="35"/>
  <c r="N5" i="35"/>
  <c r="O5" i="35"/>
  <c r="P5" i="35"/>
  <c r="N6" i="35"/>
  <c r="O6" i="35"/>
  <c r="N7" i="35"/>
  <c r="O7" i="35"/>
  <c r="P7" i="35"/>
  <c r="N8" i="35"/>
  <c r="O8" i="35"/>
  <c r="N9" i="35"/>
  <c r="O9" i="35"/>
  <c r="N10" i="35"/>
  <c r="O10" i="35"/>
  <c r="P10" i="35"/>
  <c r="N11" i="35"/>
  <c r="O11" i="35"/>
  <c r="P11" i="35"/>
  <c r="N12" i="35"/>
  <c r="O12" i="35"/>
  <c r="N13" i="35"/>
  <c r="O13" i="35"/>
  <c r="P13" i="35"/>
  <c r="N14" i="35"/>
  <c r="O14" i="35"/>
  <c r="P14" i="35"/>
  <c r="N15" i="35"/>
  <c r="O15" i="35"/>
  <c r="P15" i="35"/>
  <c r="N16" i="35"/>
  <c r="O16" i="35"/>
  <c r="N17" i="35"/>
  <c r="O17" i="35"/>
  <c r="N18" i="35"/>
  <c r="O18" i="35"/>
  <c r="P18" i="35"/>
  <c r="N19" i="35"/>
  <c r="O19" i="35"/>
  <c r="N20" i="35"/>
  <c r="O20" i="35"/>
  <c r="P20" i="35"/>
  <c r="N21" i="35"/>
  <c r="O21" i="35"/>
  <c r="P21" i="35"/>
  <c r="N22" i="35"/>
  <c r="O22" i="35"/>
  <c r="P22" i="35"/>
  <c r="N23" i="35"/>
  <c r="O23" i="35"/>
  <c r="N24" i="35"/>
  <c r="O24" i="35"/>
  <c r="N25" i="35"/>
  <c r="O25" i="35"/>
  <c r="P25" i="35"/>
  <c r="N26" i="35"/>
  <c r="O26" i="35"/>
  <c r="P26" i="35"/>
  <c r="N27" i="35"/>
  <c r="O27" i="35"/>
  <c r="N28" i="35"/>
  <c r="O28" i="35"/>
  <c r="P28" i="35"/>
  <c r="N29" i="35"/>
  <c r="O29" i="35"/>
  <c r="P29" i="35"/>
  <c r="N30" i="35"/>
  <c r="O30" i="35"/>
  <c r="N31" i="35"/>
  <c r="O31" i="35"/>
  <c r="P31" i="35"/>
  <c r="N32" i="35"/>
  <c r="O32" i="35"/>
  <c r="B33" i="35"/>
  <c r="B34" i="40"/>
  <c r="C33" i="35"/>
  <c r="E33" i="35"/>
  <c r="F33" i="35"/>
  <c r="G33" i="35"/>
  <c r="G34" i="35"/>
  <c r="H33" i="35"/>
  <c r="I33" i="35"/>
  <c r="I33" i="40"/>
  <c r="I34" i="40"/>
  <c r="J33" i="35"/>
  <c r="J33" i="40"/>
  <c r="J34" i="40"/>
  <c r="K33" i="35"/>
  <c r="L33" i="35"/>
  <c r="M33" i="35"/>
  <c r="E34" i="35"/>
  <c r="H34" i="35"/>
  <c r="N39" i="35"/>
  <c r="O39" i="35"/>
  <c r="P39" i="35"/>
  <c r="B40" i="35"/>
  <c r="C40" i="35"/>
  <c r="D40" i="35"/>
  <c r="E40" i="35"/>
  <c r="F40" i="35"/>
  <c r="G40" i="35"/>
  <c r="H40" i="35"/>
  <c r="I40" i="35"/>
  <c r="J40" i="35"/>
  <c r="K40" i="35"/>
  <c r="L40" i="35"/>
  <c r="M40" i="35"/>
  <c r="N4" i="40"/>
  <c r="O4" i="40"/>
  <c r="N5" i="40"/>
  <c r="O5" i="40"/>
  <c r="P5" i="40"/>
  <c r="N6" i="40"/>
  <c r="O6" i="40"/>
  <c r="P6" i="40"/>
  <c r="N7" i="40"/>
  <c r="O7" i="40"/>
  <c r="P7" i="40"/>
  <c r="N8" i="40"/>
  <c r="O8" i="40"/>
  <c r="P8" i="40"/>
  <c r="N9" i="40"/>
  <c r="O9" i="40"/>
  <c r="N10" i="40"/>
  <c r="O10" i="40"/>
  <c r="P10" i="40"/>
  <c r="N11" i="40"/>
  <c r="O11" i="40"/>
  <c r="P11" i="40"/>
  <c r="N12" i="40"/>
  <c r="O12" i="40"/>
  <c r="P12" i="40"/>
  <c r="N13" i="40"/>
  <c r="O13" i="40"/>
  <c r="P13" i="40"/>
  <c r="N14" i="40"/>
  <c r="O14" i="40"/>
  <c r="N15" i="40"/>
  <c r="O15" i="40"/>
  <c r="P15" i="40"/>
  <c r="N16" i="40"/>
  <c r="O16" i="40"/>
  <c r="P16" i="40"/>
  <c r="N17" i="40"/>
  <c r="O17" i="40"/>
  <c r="N18" i="40"/>
  <c r="O18" i="40"/>
  <c r="P18" i="40"/>
  <c r="N19" i="40"/>
  <c r="O19" i="40"/>
  <c r="P19" i="40"/>
  <c r="N20" i="40"/>
  <c r="O20" i="40"/>
  <c r="P20" i="40"/>
  <c r="N21" i="40"/>
  <c r="O21" i="40"/>
  <c r="P21" i="40"/>
  <c r="N22" i="40"/>
  <c r="O22" i="40"/>
  <c r="P22" i="40"/>
  <c r="N23" i="40"/>
  <c r="O23" i="40"/>
  <c r="N24" i="40"/>
  <c r="O24" i="40"/>
  <c r="N25" i="40"/>
  <c r="O25" i="40"/>
  <c r="N26" i="40"/>
  <c r="O26" i="40"/>
  <c r="N27" i="40"/>
  <c r="O27" i="40"/>
  <c r="N28" i="40"/>
  <c r="O28" i="40"/>
  <c r="N29" i="40"/>
  <c r="O29" i="40"/>
  <c r="P29" i="40"/>
  <c r="N30" i="40"/>
  <c r="O30" i="40"/>
  <c r="P30" i="40"/>
  <c r="N31" i="40"/>
  <c r="O31" i="40"/>
  <c r="P31" i="40"/>
  <c r="N32" i="40"/>
  <c r="O32" i="40"/>
  <c r="E33" i="40"/>
  <c r="E34" i="40"/>
  <c r="F33" i="40"/>
  <c r="G33" i="40"/>
  <c r="H33" i="40"/>
  <c r="H34" i="44"/>
  <c r="L34" i="40"/>
  <c r="M34" i="40"/>
  <c r="N39" i="40"/>
  <c r="O39" i="40"/>
  <c r="B40" i="40"/>
  <c r="C40" i="40"/>
  <c r="D40" i="40"/>
  <c r="E40" i="40"/>
  <c r="F40" i="40"/>
  <c r="G40" i="40"/>
  <c r="H40" i="40"/>
  <c r="I40" i="40"/>
  <c r="J40" i="40"/>
  <c r="K40" i="40"/>
  <c r="L40" i="40"/>
  <c r="M40" i="40"/>
  <c r="N4" i="44"/>
  <c r="P4" i="44"/>
  <c r="N5" i="44"/>
  <c r="P5" i="44"/>
  <c r="N6" i="44"/>
  <c r="P6" i="44"/>
  <c r="N7" i="44"/>
  <c r="P7" i="44"/>
  <c r="N8" i="44"/>
  <c r="P8" i="44"/>
  <c r="N9" i="44"/>
  <c r="P9" i="44"/>
  <c r="N10" i="44"/>
  <c r="P10" i="44"/>
  <c r="N11" i="44"/>
  <c r="P11" i="44"/>
  <c r="N12" i="44"/>
  <c r="P12" i="44"/>
  <c r="N13" i="44"/>
  <c r="P13" i="44"/>
  <c r="N14" i="44"/>
  <c r="P14" i="44"/>
  <c r="N15" i="44"/>
  <c r="P15" i="44"/>
  <c r="N16" i="44"/>
  <c r="P16" i="44"/>
  <c r="N17" i="44"/>
  <c r="P17" i="44"/>
  <c r="N18" i="44"/>
  <c r="P18" i="44"/>
  <c r="N19" i="44"/>
  <c r="P19" i="44"/>
  <c r="N20" i="44"/>
  <c r="P20" i="44"/>
  <c r="N21" i="44"/>
  <c r="P21" i="44"/>
  <c r="N22" i="44"/>
  <c r="P22" i="44"/>
  <c r="N23" i="44"/>
  <c r="P23" i="44"/>
  <c r="N24" i="44"/>
  <c r="P24" i="44"/>
  <c r="N25" i="44"/>
  <c r="P25" i="44"/>
  <c r="N26" i="44"/>
  <c r="P26" i="44"/>
  <c r="N27" i="44"/>
  <c r="P27" i="44"/>
  <c r="N28" i="44"/>
  <c r="P28" i="44"/>
  <c r="N29" i="44"/>
  <c r="P29" i="44"/>
  <c r="N30" i="44"/>
  <c r="P30" i="44"/>
  <c r="N31" i="44"/>
  <c r="P31" i="44"/>
  <c r="N32" i="44"/>
  <c r="P32" i="44"/>
  <c r="J34" i="44"/>
  <c r="N39" i="44"/>
  <c r="P39" i="44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B29" i="1"/>
  <c r="C29" i="1"/>
  <c r="C30" i="3"/>
  <c r="C31" i="3"/>
  <c r="C30" i="1"/>
  <c r="D29" i="1"/>
  <c r="E29" i="1"/>
  <c r="E30" i="1"/>
  <c r="F29" i="1"/>
  <c r="F30" i="1"/>
  <c r="G29" i="1"/>
  <c r="H29" i="1"/>
  <c r="H30" i="1"/>
  <c r="I29" i="1"/>
  <c r="J29" i="1"/>
  <c r="K29" i="1"/>
  <c r="L29" i="1"/>
  <c r="L30" i="1"/>
  <c r="M29" i="1"/>
  <c r="N29" i="1"/>
  <c r="P29" i="1"/>
  <c r="I30" i="1"/>
  <c r="J30" i="1"/>
  <c r="N30" i="1"/>
  <c r="O4" i="3"/>
  <c r="P4" i="3"/>
  <c r="O5" i="3"/>
  <c r="P5" i="3"/>
  <c r="O6" i="3"/>
  <c r="P6" i="3"/>
  <c r="O7" i="3"/>
  <c r="P7" i="3"/>
  <c r="O8" i="3"/>
  <c r="P8" i="3"/>
  <c r="O9" i="3"/>
  <c r="P9" i="3"/>
  <c r="O10" i="3"/>
  <c r="P10" i="3"/>
  <c r="O11" i="3"/>
  <c r="P11" i="3"/>
  <c r="O12" i="3"/>
  <c r="P12" i="3"/>
  <c r="O13" i="3"/>
  <c r="P13" i="3"/>
  <c r="O14" i="3"/>
  <c r="P14" i="3"/>
  <c r="O15" i="3"/>
  <c r="P15" i="3"/>
  <c r="O16" i="3"/>
  <c r="P16" i="3"/>
  <c r="O17" i="3"/>
  <c r="P17" i="3"/>
  <c r="O18" i="3"/>
  <c r="P18" i="3"/>
  <c r="P20" i="3"/>
  <c r="P21" i="3"/>
  <c r="P22" i="3"/>
  <c r="P23" i="3"/>
  <c r="P24" i="3"/>
  <c r="P25" i="3"/>
  <c r="P26" i="3"/>
  <c r="P27" i="3"/>
  <c r="P28" i="3"/>
  <c r="P29" i="3"/>
  <c r="B30" i="3"/>
  <c r="D30" i="3"/>
  <c r="E30" i="3"/>
  <c r="E31" i="3"/>
  <c r="F30" i="3"/>
  <c r="F30" i="15"/>
  <c r="F31" i="15"/>
  <c r="G30" i="3"/>
  <c r="H30" i="3"/>
  <c r="H31" i="3"/>
  <c r="I30" i="3"/>
  <c r="I31" i="3"/>
  <c r="J30" i="3"/>
  <c r="J31" i="3"/>
  <c r="K30" i="3"/>
  <c r="K30" i="15"/>
  <c r="K31" i="15"/>
  <c r="L30" i="3"/>
  <c r="L31" i="3"/>
  <c r="M30" i="3"/>
  <c r="N30" i="3"/>
  <c r="P4" i="15"/>
  <c r="P5" i="15"/>
  <c r="P6" i="15"/>
  <c r="P7" i="15"/>
  <c r="P8" i="15"/>
  <c r="P9" i="15"/>
  <c r="P10" i="15"/>
  <c r="P11" i="15"/>
  <c r="P12" i="15"/>
  <c r="P13" i="15"/>
  <c r="P14" i="15"/>
  <c r="P15" i="15"/>
  <c r="P16" i="15"/>
  <c r="P17" i="15"/>
  <c r="P18" i="15"/>
  <c r="P20" i="15"/>
  <c r="P21" i="15"/>
  <c r="P22" i="15"/>
  <c r="P23" i="15"/>
  <c r="P24" i="15"/>
  <c r="P25" i="15"/>
  <c r="P26" i="15"/>
  <c r="P27" i="15"/>
  <c r="P28" i="15"/>
  <c r="P29" i="15"/>
  <c r="B30" i="15"/>
  <c r="B31" i="15"/>
  <c r="C30" i="15"/>
  <c r="D30" i="15"/>
  <c r="E30" i="15"/>
  <c r="E30" i="18"/>
  <c r="E31" i="18"/>
  <c r="G30" i="15"/>
  <c r="H30" i="15"/>
  <c r="I30" i="15"/>
  <c r="J30" i="15"/>
  <c r="J30" i="18"/>
  <c r="J31" i="18"/>
  <c r="L30" i="15"/>
  <c r="M30" i="15"/>
  <c r="N30" i="15"/>
  <c r="P30" i="15"/>
  <c r="N4" i="18"/>
  <c r="N5" i="18"/>
  <c r="P5" i="18"/>
  <c r="N6" i="18"/>
  <c r="N7" i="18"/>
  <c r="P7" i="18"/>
  <c r="N8" i="18"/>
  <c r="P8" i="18"/>
  <c r="N9" i="18"/>
  <c r="P9" i="18"/>
  <c r="N10" i="18"/>
  <c r="P10" i="18"/>
  <c r="N11" i="18"/>
  <c r="P11" i="18"/>
  <c r="N12" i="18"/>
  <c r="P12" i="18"/>
  <c r="N13" i="18"/>
  <c r="P13" i="18"/>
  <c r="N14" i="18"/>
  <c r="P14" i="18"/>
  <c r="N15" i="18"/>
  <c r="P15" i="18"/>
  <c r="N16" i="18"/>
  <c r="P16" i="18"/>
  <c r="N17" i="18"/>
  <c r="P17" i="18"/>
  <c r="N18" i="18"/>
  <c r="P18" i="18"/>
  <c r="N19" i="18"/>
  <c r="N20" i="18"/>
  <c r="P20" i="18"/>
  <c r="N21" i="18"/>
  <c r="P21" i="18"/>
  <c r="N22" i="18"/>
  <c r="P22" i="18"/>
  <c r="N23" i="18"/>
  <c r="P23" i="18"/>
  <c r="N24" i="18"/>
  <c r="P24" i="18"/>
  <c r="N25" i="18"/>
  <c r="P25" i="18"/>
  <c r="N26" i="18"/>
  <c r="P26" i="18"/>
  <c r="N27" i="18"/>
  <c r="P27" i="18"/>
  <c r="N28" i="18"/>
  <c r="P28" i="18"/>
  <c r="N29" i="18"/>
  <c r="P29" i="18"/>
  <c r="B30" i="18"/>
  <c r="C30" i="18"/>
  <c r="D30" i="18"/>
  <c r="F30" i="18"/>
  <c r="F31" i="23"/>
  <c r="F32" i="23"/>
  <c r="G30" i="18"/>
  <c r="H30" i="18"/>
  <c r="H31" i="18"/>
  <c r="I30" i="18"/>
  <c r="K30" i="18"/>
  <c r="L30" i="18"/>
  <c r="M30" i="18"/>
  <c r="O30" i="18"/>
  <c r="N4" i="23"/>
  <c r="O4" i="23"/>
  <c r="N5" i="23"/>
  <c r="O5" i="23"/>
  <c r="N6" i="23"/>
  <c r="O6" i="23"/>
  <c r="N7" i="23"/>
  <c r="O7" i="23"/>
  <c r="N8" i="23"/>
  <c r="O8" i="23"/>
  <c r="N9" i="23"/>
  <c r="O9" i="23"/>
  <c r="P9" i="23"/>
  <c r="N10" i="23"/>
  <c r="O10" i="23"/>
  <c r="N11" i="23"/>
  <c r="O11" i="23"/>
  <c r="P11" i="23"/>
  <c r="N12" i="23"/>
  <c r="O12" i="23"/>
  <c r="N13" i="23"/>
  <c r="O13" i="23"/>
  <c r="P13" i="23"/>
  <c r="N14" i="23"/>
  <c r="O14" i="23"/>
  <c r="P14" i="23"/>
  <c r="N15" i="23"/>
  <c r="O15" i="23"/>
  <c r="P15" i="23"/>
  <c r="N16" i="23"/>
  <c r="O16" i="23"/>
  <c r="P16" i="23"/>
  <c r="N17" i="23"/>
  <c r="N18" i="23"/>
  <c r="O18" i="23"/>
  <c r="P18" i="23"/>
  <c r="N19" i="23"/>
  <c r="O19" i="23"/>
  <c r="N20" i="23"/>
  <c r="O20" i="23"/>
  <c r="N21" i="23"/>
  <c r="O21" i="23"/>
  <c r="N22" i="23"/>
  <c r="O22" i="23"/>
  <c r="P22" i="23"/>
  <c r="N23" i="23"/>
  <c r="O23" i="23"/>
  <c r="P23" i="23"/>
  <c r="N24" i="23"/>
  <c r="O24" i="23"/>
  <c r="P24" i="23"/>
  <c r="N25" i="23"/>
  <c r="O25" i="23"/>
  <c r="P25" i="23"/>
  <c r="N26" i="23"/>
  <c r="O26" i="23"/>
  <c r="P26" i="23"/>
  <c r="N27" i="23"/>
  <c r="O27" i="23"/>
  <c r="P27" i="23"/>
  <c r="N28" i="23"/>
  <c r="O28" i="23"/>
  <c r="P28" i="23"/>
  <c r="N29" i="23"/>
  <c r="O29" i="23"/>
  <c r="N30" i="23"/>
  <c r="O30" i="23"/>
  <c r="P30" i="23"/>
  <c r="B31" i="23"/>
  <c r="C31" i="23"/>
  <c r="D31" i="23"/>
  <c r="E31" i="23"/>
  <c r="E32" i="23"/>
  <c r="G31" i="23"/>
  <c r="H31" i="23"/>
  <c r="H32" i="23"/>
  <c r="I31" i="23"/>
  <c r="I32" i="23"/>
  <c r="J31" i="23"/>
  <c r="J32" i="23"/>
  <c r="K31" i="23"/>
  <c r="K32" i="23"/>
  <c r="L31" i="23"/>
  <c r="M31" i="23"/>
  <c r="M32" i="23"/>
  <c r="N4" i="27"/>
  <c r="O4" i="27"/>
  <c r="N5" i="27"/>
  <c r="O5" i="27"/>
  <c r="N6" i="27"/>
  <c r="O6" i="27"/>
  <c r="N7" i="27"/>
  <c r="O7" i="27"/>
  <c r="P7" i="27"/>
  <c r="N8" i="27"/>
  <c r="O8" i="27"/>
  <c r="N9" i="27"/>
  <c r="O9" i="27"/>
  <c r="N10" i="27"/>
  <c r="O10" i="27"/>
  <c r="N11" i="27"/>
  <c r="O11" i="27"/>
  <c r="N12" i="27"/>
  <c r="O12" i="27"/>
  <c r="P12" i="27"/>
  <c r="N13" i="27"/>
  <c r="O13" i="27"/>
  <c r="N14" i="27"/>
  <c r="O14" i="27"/>
  <c r="N15" i="27"/>
  <c r="O15" i="27"/>
  <c r="N16" i="27"/>
  <c r="O16" i="27"/>
  <c r="N17" i="27"/>
  <c r="O17" i="27"/>
  <c r="N18" i="27"/>
  <c r="O18" i="27"/>
  <c r="P18" i="27"/>
  <c r="N19" i="27"/>
  <c r="O19" i="27"/>
  <c r="P19" i="27"/>
  <c r="N20" i="27"/>
  <c r="O20" i="27"/>
  <c r="N21" i="27"/>
  <c r="O21" i="27"/>
  <c r="P21" i="27"/>
  <c r="N22" i="27"/>
  <c r="O22" i="27"/>
  <c r="N23" i="27"/>
  <c r="O23" i="27"/>
  <c r="N24" i="27"/>
  <c r="O24" i="27"/>
  <c r="P24" i="27"/>
  <c r="N25" i="27"/>
  <c r="O25" i="27"/>
  <c r="P25" i="27"/>
  <c r="N26" i="27"/>
  <c r="O26" i="27"/>
  <c r="P26" i="27"/>
  <c r="N27" i="27"/>
  <c r="O27" i="27"/>
  <c r="N28" i="27"/>
  <c r="O28" i="27"/>
  <c r="N29" i="27"/>
  <c r="O29" i="27"/>
  <c r="N30" i="27"/>
  <c r="O30" i="27"/>
  <c r="P30" i="27"/>
  <c r="B31" i="27"/>
  <c r="B32" i="27"/>
  <c r="C31" i="27"/>
  <c r="C32" i="27"/>
  <c r="D31" i="27"/>
  <c r="D32" i="27"/>
  <c r="E31" i="27"/>
  <c r="E32" i="27"/>
  <c r="F31" i="27"/>
  <c r="F32" i="27"/>
  <c r="G31" i="27"/>
  <c r="H31" i="27"/>
  <c r="I31" i="27"/>
  <c r="I32" i="27"/>
  <c r="J31" i="27"/>
  <c r="J32" i="27"/>
  <c r="K31" i="27"/>
  <c r="L31" i="27"/>
  <c r="L32" i="27"/>
  <c r="M31" i="27"/>
  <c r="N4" i="31"/>
  <c r="O4" i="31"/>
  <c r="N5" i="31"/>
  <c r="O5" i="31"/>
  <c r="P5" i="31"/>
  <c r="N6" i="31"/>
  <c r="O6" i="31"/>
  <c r="N7" i="31"/>
  <c r="O7" i="31"/>
  <c r="N8" i="31"/>
  <c r="O8" i="31"/>
  <c r="P8" i="31"/>
  <c r="N9" i="31"/>
  <c r="O9" i="31"/>
  <c r="N10" i="31"/>
  <c r="O10" i="31"/>
  <c r="N11" i="31"/>
  <c r="O11" i="31"/>
  <c r="P11" i="31"/>
  <c r="N12" i="31"/>
  <c r="O12" i="31"/>
  <c r="P12" i="31"/>
  <c r="N13" i="31"/>
  <c r="O13" i="31"/>
  <c r="P13" i="31"/>
  <c r="N14" i="31"/>
  <c r="O14" i="31"/>
  <c r="P14" i="31"/>
  <c r="N15" i="31"/>
  <c r="O15" i="31"/>
  <c r="N16" i="31"/>
  <c r="O16" i="31"/>
  <c r="N17" i="31"/>
  <c r="O17" i="31"/>
  <c r="N18" i="31"/>
  <c r="O18" i="31"/>
  <c r="N19" i="31"/>
  <c r="O19" i="31"/>
  <c r="N20" i="31"/>
  <c r="O20" i="31"/>
  <c r="N21" i="31"/>
  <c r="O21" i="31"/>
  <c r="P21" i="31"/>
  <c r="N22" i="31"/>
  <c r="O22" i="31"/>
  <c r="P22" i="31"/>
  <c r="N23" i="31"/>
  <c r="O23" i="31"/>
  <c r="N24" i="31"/>
  <c r="O24" i="31"/>
  <c r="N25" i="31"/>
  <c r="O25" i="31"/>
  <c r="N26" i="31"/>
  <c r="O26" i="31"/>
  <c r="P26" i="31"/>
  <c r="N27" i="31"/>
  <c r="O27" i="31"/>
  <c r="N28" i="31"/>
  <c r="O28" i="31"/>
  <c r="P28" i="31"/>
  <c r="B29" i="31"/>
  <c r="C29" i="31"/>
  <c r="D29" i="31"/>
  <c r="E29" i="31"/>
  <c r="F29" i="31"/>
  <c r="G29" i="31"/>
  <c r="H29" i="31"/>
  <c r="I29" i="31"/>
  <c r="I30" i="31"/>
  <c r="J29" i="31"/>
  <c r="J30" i="31"/>
  <c r="K29" i="31"/>
  <c r="L29" i="31"/>
  <c r="M29" i="31"/>
  <c r="M30" i="31"/>
  <c r="F30" i="31"/>
  <c r="N4" i="33"/>
  <c r="O4" i="33"/>
  <c r="N5" i="33"/>
  <c r="O5" i="33"/>
  <c r="N6" i="33"/>
  <c r="O6" i="33"/>
  <c r="P6" i="33"/>
  <c r="N7" i="33"/>
  <c r="O7" i="33"/>
  <c r="P7" i="33"/>
  <c r="N8" i="33"/>
  <c r="O8" i="33"/>
  <c r="P8" i="33"/>
  <c r="N9" i="33"/>
  <c r="O9" i="33"/>
  <c r="N10" i="33"/>
  <c r="O10" i="33"/>
  <c r="P10" i="33"/>
  <c r="N11" i="33"/>
  <c r="N12" i="33"/>
  <c r="O12" i="33"/>
  <c r="P12" i="33"/>
  <c r="N13" i="33"/>
  <c r="O13" i="33"/>
  <c r="P13" i="33"/>
  <c r="N14" i="33"/>
  <c r="O14" i="33"/>
  <c r="N15" i="33"/>
  <c r="O15" i="33"/>
  <c r="P15" i="33"/>
  <c r="N16" i="33"/>
  <c r="O16" i="33"/>
  <c r="P16" i="33"/>
  <c r="N17" i="33"/>
  <c r="O17" i="33"/>
  <c r="N18" i="33"/>
  <c r="O18" i="33"/>
  <c r="N19" i="33"/>
  <c r="O19" i="33"/>
  <c r="N20" i="33"/>
  <c r="O20" i="33"/>
  <c r="P20" i="33"/>
  <c r="N21" i="33"/>
  <c r="O21" i="33"/>
  <c r="P21" i="33"/>
  <c r="N22" i="33"/>
  <c r="O22" i="33"/>
  <c r="P22" i="33"/>
  <c r="N23" i="33"/>
  <c r="O23" i="33"/>
  <c r="N24" i="33"/>
  <c r="O24" i="33"/>
  <c r="P24" i="33"/>
  <c r="N25" i="33"/>
  <c r="O25" i="33"/>
  <c r="P25" i="33"/>
  <c r="N26" i="33"/>
  <c r="O26" i="33"/>
  <c r="P26" i="33"/>
  <c r="N27" i="33"/>
  <c r="O27" i="33"/>
  <c r="N28" i="33"/>
  <c r="O28" i="33"/>
  <c r="P28" i="33"/>
  <c r="N29" i="33"/>
  <c r="O29" i="33"/>
  <c r="B30" i="33"/>
  <c r="B31" i="33"/>
  <c r="C30" i="33"/>
  <c r="C31" i="33"/>
  <c r="D30" i="33"/>
  <c r="E30" i="33"/>
  <c r="E31" i="33"/>
  <c r="F30" i="33"/>
  <c r="F31" i="33"/>
  <c r="G30" i="33"/>
  <c r="G31" i="33"/>
  <c r="H30" i="33"/>
  <c r="H31" i="38"/>
  <c r="H32" i="38"/>
  <c r="I30" i="33"/>
  <c r="I31" i="33"/>
  <c r="J30" i="33"/>
  <c r="K30" i="33"/>
  <c r="K31" i="33"/>
  <c r="L30" i="33"/>
  <c r="L31" i="33"/>
  <c r="M30" i="33"/>
  <c r="M31" i="33"/>
  <c r="N4" i="38"/>
  <c r="O4" i="38"/>
  <c r="N5" i="38"/>
  <c r="O5" i="38"/>
  <c r="N6" i="38"/>
  <c r="O6" i="38"/>
  <c r="N7" i="38"/>
  <c r="O7" i="38"/>
  <c r="P7" i="38"/>
  <c r="N8" i="38"/>
  <c r="O8" i="38"/>
  <c r="N9" i="38"/>
  <c r="O9" i="38"/>
  <c r="N10" i="38"/>
  <c r="O10" i="38"/>
  <c r="P10" i="38"/>
  <c r="N11" i="38"/>
  <c r="O11" i="38"/>
  <c r="P11" i="38"/>
  <c r="N12" i="38"/>
  <c r="O12" i="38"/>
  <c r="N13" i="38"/>
  <c r="O13" i="38"/>
  <c r="N14" i="38"/>
  <c r="O14" i="38"/>
  <c r="N15" i="38"/>
  <c r="O15" i="38"/>
  <c r="P15" i="38"/>
  <c r="N16" i="38"/>
  <c r="O16" i="38"/>
  <c r="N17" i="38"/>
  <c r="O17" i="38"/>
  <c r="N18" i="38"/>
  <c r="O18" i="38"/>
  <c r="P18" i="38"/>
  <c r="N19" i="38"/>
  <c r="O19" i="38"/>
  <c r="P19" i="38"/>
  <c r="N20" i="38"/>
  <c r="N21" i="38"/>
  <c r="O21" i="38"/>
  <c r="P21" i="38"/>
  <c r="N22" i="38"/>
  <c r="O22" i="38"/>
  <c r="N23" i="38"/>
  <c r="O23" i="38"/>
  <c r="P23" i="38"/>
  <c r="N24" i="38"/>
  <c r="O24" i="38"/>
  <c r="P24" i="38"/>
  <c r="N25" i="38"/>
  <c r="O25" i="38"/>
  <c r="P25" i="38"/>
  <c r="N26" i="38"/>
  <c r="O26" i="38"/>
  <c r="N27" i="38"/>
  <c r="O27" i="38"/>
  <c r="N28" i="38"/>
  <c r="O28" i="38"/>
  <c r="N29" i="38"/>
  <c r="O29" i="38"/>
  <c r="P29" i="38"/>
  <c r="N30" i="38"/>
  <c r="O30" i="38"/>
  <c r="P30" i="38"/>
  <c r="B31" i="38"/>
  <c r="C31" i="38"/>
  <c r="C32" i="38"/>
  <c r="D31" i="38"/>
  <c r="E31" i="38"/>
  <c r="E32" i="42"/>
  <c r="F31" i="38"/>
  <c r="F32" i="38"/>
  <c r="G31" i="38"/>
  <c r="G32" i="38"/>
  <c r="I31" i="38"/>
  <c r="I32" i="38"/>
  <c r="J31" i="38"/>
  <c r="J32" i="42"/>
  <c r="K31" i="38"/>
  <c r="L32" i="38"/>
  <c r="D32" i="38"/>
  <c r="N4" i="42"/>
  <c r="N5" i="42"/>
  <c r="N6" i="42"/>
  <c r="P6" i="42"/>
  <c r="N7" i="42"/>
  <c r="N8" i="42"/>
  <c r="N10" i="42"/>
  <c r="N11" i="42"/>
  <c r="N12" i="42"/>
  <c r="P12" i="42"/>
  <c r="N14" i="42"/>
  <c r="P14" i="42"/>
  <c r="N15" i="42"/>
  <c r="P15" i="42"/>
  <c r="N16" i="42"/>
  <c r="P16" i="42"/>
  <c r="N17" i="42"/>
  <c r="N18" i="42"/>
  <c r="P18" i="42"/>
  <c r="N19" i="42"/>
  <c r="P19" i="42"/>
  <c r="N21" i="42"/>
  <c r="P21" i="42"/>
  <c r="N22" i="42"/>
  <c r="P22" i="42"/>
  <c r="N23" i="42"/>
  <c r="N24" i="42"/>
  <c r="P24" i="42"/>
  <c r="N25" i="42"/>
  <c r="P25" i="42"/>
  <c r="N26" i="42"/>
  <c r="P26" i="42"/>
  <c r="N27" i="42"/>
  <c r="P27" i="42"/>
  <c r="N28" i="42"/>
  <c r="N29" i="42"/>
  <c r="P29" i="42"/>
  <c r="N30" i="42"/>
  <c r="P30" i="42"/>
  <c r="B32" i="42"/>
  <c r="C32" i="42"/>
  <c r="F32" i="42"/>
  <c r="K32" i="42"/>
  <c r="B4" i="9"/>
  <c r="C4" i="9"/>
  <c r="D4" i="9"/>
  <c r="E4" i="9"/>
  <c r="F4" i="9"/>
  <c r="F5" i="9"/>
  <c r="F6" i="9"/>
  <c r="F7" i="9"/>
  <c r="F8" i="9"/>
  <c r="F9" i="9"/>
  <c r="F10" i="9"/>
  <c r="F12" i="9"/>
  <c r="F13" i="9"/>
  <c r="F14" i="9"/>
  <c r="F15" i="9"/>
  <c r="F16" i="9"/>
  <c r="F18" i="9"/>
  <c r="F20" i="9"/>
  <c r="F21" i="9"/>
  <c r="F23" i="9"/>
  <c r="F24" i="9"/>
  <c r="F25" i="9"/>
  <c r="F26" i="9"/>
  <c r="F27" i="9"/>
  <c r="F28" i="9"/>
  <c r="F29" i="9"/>
  <c r="F30" i="9"/>
  <c r="F31" i="9"/>
  <c r="F32" i="9"/>
  <c r="F33" i="9"/>
  <c r="G4" i="9"/>
  <c r="H4" i="9"/>
  <c r="I4" i="9"/>
  <c r="J4" i="9"/>
  <c r="K4" i="9"/>
  <c r="L4" i="9"/>
  <c r="M4" i="9"/>
  <c r="M5" i="9"/>
  <c r="M6" i="9"/>
  <c r="M7" i="9"/>
  <c r="M8" i="9"/>
  <c r="M9" i="9"/>
  <c r="M10" i="9"/>
  <c r="M12" i="9"/>
  <c r="M13" i="9"/>
  <c r="M14" i="9"/>
  <c r="M15" i="9"/>
  <c r="M16" i="9"/>
  <c r="M18" i="9"/>
  <c r="M20" i="9"/>
  <c r="M21" i="9"/>
  <c r="M23" i="9"/>
  <c r="M24" i="9"/>
  <c r="M25" i="9"/>
  <c r="M26" i="9"/>
  <c r="M27" i="9"/>
  <c r="M28" i="9"/>
  <c r="M29" i="9"/>
  <c r="M30" i="9"/>
  <c r="M31" i="9"/>
  <c r="M32" i="9"/>
  <c r="M33" i="9"/>
  <c r="M33" i="11"/>
  <c r="M34" i="11"/>
  <c r="O4" i="9"/>
  <c r="B5" i="9"/>
  <c r="C5" i="9"/>
  <c r="D5" i="9"/>
  <c r="D6" i="9"/>
  <c r="D7" i="9"/>
  <c r="D8" i="9"/>
  <c r="D9" i="9"/>
  <c r="D33" i="9"/>
  <c r="E5" i="9"/>
  <c r="G5" i="9"/>
  <c r="H5" i="9"/>
  <c r="I5" i="9"/>
  <c r="I6" i="9"/>
  <c r="I7" i="9"/>
  <c r="I8" i="9"/>
  <c r="I9" i="9"/>
  <c r="I33" i="9"/>
  <c r="J5" i="9"/>
  <c r="K5" i="9"/>
  <c r="L5" i="9"/>
  <c r="O5" i="9"/>
  <c r="B6" i="9"/>
  <c r="C6" i="9"/>
  <c r="E6" i="9"/>
  <c r="G6" i="9"/>
  <c r="H6" i="9"/>
  <c r="J6" i="9"/>
  <c r="K6" i="9"/>
  <c r="K7" i="9"/>
  <c r="K8" i="9"/>
  <c r="K9" i="9"/>
  <c r="K33" i="9"/>
  <c r="L6" i="9"/>
  <c r="O6" i="9"/>
  <c r="B7" i="9"/>
  <c r="C7" i="9"/>
  <c r="E7" i="9"/>
  <c r="G7" i="9"/>
  <c r="H7" i="9"/>
  <c r="J7" i="9"/>
  <c r="L7" i="9"/>
  <c r="O7" i="9"/>
  <c r="B8" i="9"/>
  <c r="C8" i="9"/>
  <c r="E8" i="9"/>
  <c r="G8" i="9"/>
  <c r="H8" i="9"/>
  <c r="J8" i="9"/>
  <c r="L8" i="9"/>
  <c r="O8" i="9"/>
  <c r="B9" i="9"/>
  <c r="N9" i="9"/>
  <c r="C9" i="9"/>
  <c r="C33" i="9"/>
  <c r="E9" i="9"/>
  <c r="E33" i="9"/>
  <c r="G9" i="9"/>
  <c r="G33" i="9"/>
  <c r="H9" i="9"/>
  <c r="J9" i="9"/>
  <c r="L9" i="9"/>
  <c r="L33" i="9"/>
  <c r="O9" i="9"/>
  <c r="O33" i="9"/>
  <c r="B10" i="9"/>
  <c r="C10" i="9"/>
  <c r="D10" i="9"/>
  <c r="E10" i="9"/>
  <c r="G10" i="9"/>
  <c r="H10" i="9"/>
  <c r="I10" i="9"/>
  <c r="J10" i="9"/>
  <c r="K10" i="9"/>
  <c r="L10" i="9"/>
  <c r="O10" i="9"/>
  <c r="N11" i="9"/>
  <c r="P11" i="9"/>
  <c r="B12" i="9"/>
  <c r="C12" i="9"/>
  <c r="D12" i="9"/>
  <c r="E12" i="9"/>
  <c r="G12" i="9"/>
  <c r="H12" i="9"/>
  <c r="I12" i="9"/>
  <c r="J12" i="9"/>
  <c r="K12" i="9"/>
  <c r="L12" i="9"/>
  <c r="O12" i="9"/>
  <c r="B13" i="9"/>
  <c r="N13" i="9"/>
  <c r="O13" i="9"/>
  <c r="P13" i="9"/>
  <c r="C13" i="9"/>
  <c r="D13" i="9"/>
  <c r="E13" i="9"/>
  <c r="G13" i="9"/>
  <c r="H13" i="9"/>
  <c r="I13" i="9"/>
  <c r="J13" i="9"/>
  <c r="K13" i="9"/>
  <c r="L13" i="9"/>
  <c r="B14" i="9"/>
  <c r="C14" i="9"/>
  <c r="D14" i="9"/>
  <c r="E14" i="9"/>
  <c r="G14" i="9"/>
  <c r="H14" i="9"/>
  <c r="I14" i="9"/>
  <c r="J14" i="9"/>
  <c r="K14" i="9"/>
  <c r="L14" i="9"/>
  <c r="O14" i="9"/>
  <c r="B15" i="9"/>
  <c r="C15" i="9"/>
  <c r="D15" i="9"/>
  <c r="E15" i="9"/>
  <c r="G15" i="9"/>
  <c r="H15" i="9"/>
  <c r="I15" i="9"/>
  <c r="J15" i="9"/>
  <c r="K15" i="9"/>
  <c r="L15" i="9"/>
  <c r="O15" i="9"/>
  <c r="B16" i="9"/>
  <c r="C16" i="9"/>
  <c r="D16" i="9"/>
  <c r="E16" i="9"/>
  <c r="G16" i="9"/>
  <c r="H16" i="9"/>
  <c r="I16" i="9"/>
  <c r="J16" i="9"/>
  <c r="K16" i="9"/>
  <c r="L16" i="9"/>
  <c r="O16" i="9"/>
  <c r="N17" i="9"/>
  <c r="P17" i="9"/>
  <c r="B18" i="9"/>
  <c r="C18" i="9"/>
  <c r="D18" i="9"/>
  <c r="E18" i="9"/>
  <c r="G18" i="9"/>
  <c r="H18" i="9"/>
  <c r="I18" i="9"/>
  <c r="J18" i="9"/>
  <c r="K18" i="9"/>
  <c r="L18" i="9"/>
  <c r="O18" i="9"/>
  <c r="N19" i="9"/>
  <c r="P19" i="9"/>
  <c r="B20" i="9"/>
  <c r="C20" i="9"/>
  <c r="D20" i="9"/>
  <c r="E20" i="9"/>
  <c r="G20" i="9"/>
  <c r="H20" i="9"/>
  <c r="I20" i="9"/>
  <c r="J20" i="9"/>
  <c r="K20" i="9"/>
  <c r="L20" i="9"/>
  <c r="O20" i="9"/>
  <c r="B21" i="9"/>
  <c r="N21" i="9"/>
  <c r="O21" i="9"/>
  <c r="P21" i="9"/>
  <c r="C21" i="9"/>
  <c r="D21" i="9"/>
  <c r="E21" i="9"/>
  <c r="G21" i="9"/>
  <c r="H21" i="9"/>
  <c r="I21" i="9"/>
  <c r="J21" i="9"/>
  <c r="K21" i="9"/>
  <c r="L21" i="9"/>
  <c r="N22" i="9"/>
  <c r="P22" i="9"/>
  <c r="B23" i="9"/>
  <c r="C23" i="9"/>
  <c r="D23" i="9"/>
  <c r="E23" i="9"/>
  <c r="G23" i="9"/>
  <c r="H23" i="9"/>
  <c r="I23" i="9"/>
  <c r="J23" i="9"/>
  <c r="K23" i="9"/>
  <c r="L23" i="9"/>
  <c r="O23" i="9"/>
  <c r="B24" i="9"/>
  <c r="N24" i="9"/>
  <c r="O24" i="9"/>
  <c r="P24" i="9"/>
  <c r="C24" i="9"/>
  <c r="D24" i="9"/>
  <c r="E24" i="9"/>
  <c r="G24" i="9"/>
  <c r="H24" i="9"/>
  <c r="I24" i="9"/>
  <c r="J24" i="9"/>
  <c r="K24" i="9"/>
  <c r="L24" i="9"/>
  <c r="B25" i="9"/>
  <c r="C25" i="9"/>
  <c r="D25" i="9"/>
  <c r="E25" i="9"/>
  <c r="G25" i="9"/>
  <c r="H25" i="9"/>
  <c r="I25" i="9"/>
  <c r="J25" i="9"/>
  <c r="K25" i="9"/>
  <c r="L25" i="9"/>
  <c r="O25" i="9"/>
  <c r="B26" i="9"/>
  <c r="C26" i="9"/>
  <c r="D26" i="9"/>
  <c r="E26" i="9"/>
  <c r="G26" i="9"/>
  <c r="H26" i="9"/>
  <c r="I26" i="9"/>
  <c r="J26" i="9"/>
  <c r="K26" i="9"/>
  <c r="L26" i="9"/>
  <c r="O26" i="9"/>
  <c r="B27" i="9"/>
  <c r="N27" i="9"/>
  <c r="C27" i="9"/>
  <c r="D27" i="9"/>
  <c r="E27" i="9"/>
  <c r="G27" i="9"/>
  <c r="H27" i="9"/>
  <c r="I27" i="9"/>
  <c r="J27" i="9"/>
  <c r="K27" i="9"/>
  <c r="L27" i="9"/>
  <c r="O27" i="9"/>
  <c r="B28" i="9"/>
  <c r="C28" i="9"/>
  <c r="D28" i="9"/>
  <c r="E28" i="9"/>
  <c r="G28" i="9"/>
  <c r="H28" i="9"/>
  <c r="H33" i="9"/>
  <c r="I28" i="9"/>
  <c r="J28" i="9"/>
  <c r="K28" i="9"/>
  <c r="L28" i="9"/>
  <c r="O28" i="9"/>
  <c r="B29" i="9"/>
  <c r="C29" i="9"/>
  <c r="D29" i="9"/>
  <c r="E29" i="9"/>
  <c r="G29" i="9"/>
  <c r="H29" i="9"/>
  <c r="I29" i="9"/>
  <c r="J29" i="9"/>
  <c r="K29" i="9"/>
  <c r="L29" i="9"/>
  <c r="O29" i="9"/>
  <c r="B30" i="9"/>
  <c r="N30" i="9"/>
  <c r="C30" i="9"/>
  <c r="D30" i="9"/>
  <c r="E30" i="9"/>
  <c r="G30" i="9"/>
  <c r="H30" i="9"/>
  <c r="I30" i="9"/>
  <c r="J30" i="9"/>
  <c r="K30" i="9"/>
  <c r="L30" i="9"/>
  <c r="O30" i="9"/>
  <c r="B31" i="9"/>
  <c r="C31" i="9"/>
  <c r="D31" i="9"/>
  <c r="E31" i="9"/>
  <c r="G31" i="9"/>
  <c r="H31" i="9"/>
  <c r="I31" i="9"/>
  <c r="J31" i="9"/>
  <c r="K31" i="9"/>
  <c r="L31" i="9"/>
  <c r="O31" i="9"/>
  <c r="B32" i="9"/>
  <c r="C32" i="9"/>
  <c r="D32" i="9"/>
  <c r="E32" i="9"/>
  <c r="G32" i="9"/>
  <c r="H32" i="9"/>
  <c r="I32" i="9"/>
  <c r="J32" i="9"/>
  <c r="K32" i="9"/>
  <c r="L32" i="9"/>
  <c r="O32" i="9"/>
  <c r="P5" i="11"/>
  <c r="P7" i="11"/>
  <c r="O8" i="16"/>
  <c r="P8" i="11"/>
  <c r="B33" i="11"/>
  <c r="C33" i="11"/>
  <c r="D33" i="11"/>
  <c r="E33" i="11"/>
  <c r="F33" i="11"/>
  <c r="H33" i="11"/>
  <c r="I33" i="11"/>
  <c r="J33" i="11"/>
  <c r="K33" i="11"/>
  <c r="L33" i="11"/>
  <c r="P10" i="11"/>
  <c r="O13" i="16"/>
  <c r="P13" i="16"/>
  <c r="P13" i="11"/>
  <c r="O14" i="16"/>
  <c r="P15" i="11"/>
  <c r="O16" i="16"/>
  <c r="P16" i="16"/>
  <c r="P16" i="11"/>
  <c r="O18" i="16"/>
  <c r="P18" i="11"/>
  <c r="P21" i="11"/>
  <c r="P23" i="11"/>
  <c r="O24" i="16"/>
  <c r="P24" i="11"/>
  <c r="P26" i="11"/>
  <c r="P29" i="11"/>
  <c r="O30" i="16"/>
  <c r="P31" i="11"/>
  <c r="P32" i="11"/>
  <c r="O33" i="11"/>
  <c r="O5" i="16"/>
  <c r="P5" i="16"/>
  <c r="O6" i="16"/>
  <c r="P8" i="16"/>
  <c r="B33" i="16"/>
  <c r="C33" i="16"/>
  <c r="D33" i="16"/>
  <c r="E33" i="16"/>
  <c r="F33" i="16"/>
  <c r="I33" i="16"/>
  <c r="J33" i="16"/>
  <c r="K33" i="16"/>
  <c r="L33" i="16"/>
  <c r="M33" i="16"/>
  <c r="O12" i="16"/>
  <c r="O13" i="17"/>
  <c r="O21" i="17"/>
  <c r="O27" i="17"/>
  <c r="O30" i="17"/>
  <c r="O32" i="17"/>
  <c r="B4" i="17"/>
  <c r="B5" i="17"/>
  <c r="B6" i="17"/>
  <c r="B7" i="17"/>
  <c r="N7" i="17"/>
  <c r="B8" i="17"/>
  <c r="N9" i="17"/>
  <c r="C33" i="17"/>
  <c r="D33" i="17"/>
  <c r="E33" i="17"/>
  <c r="F33" i="17"/>
  <c r="F34" i="17"/>
  <c r="G33" i="17"/>
  <c r="H33" i="17"/>
  <c r="I33" i="17"/>
  <c r="K33" i="17"/>
  <c r="M33" i="17"/>
  <c r="B11" i="17"/>
  <c r="B12" i="17"/>
  <c r="B14" i="17"/>
  <c r="B15" i="17"/>
  <c r="B16" i="17"/>
  <c r="B17" i="17"/>
  <c r="O17" i="24"/>
  <c r="N18" i="17"/>
  <c r="B19" i="17"/>
  <c r="B20" i="17"/>
  <c r="N21" i="17"/>
  <c r="B22" i="17"/>
  <c r="B23" i="17"/>
  <c r="N24" i="17"/>
  <c r="B25" i="17"/>
  <c r="B26" i="17"/>
  <c r="N27" i="17"/>
  <c r="B29" i="17"/>
  <c r="O30" i="24"/>
  <c r="B31" i="17"/>
  <c r="O32" i="24"/>
  <c r="B4" i="24"/>
  <c r="B5" i="24"/>
  <c r="B6" i="24"/>
  <c r="B7" i="24"/>
  <c r="B8" i="24"/>
  <c r="C33" i="24"/>
  <c r="D33" i="24"/>
  <c r="E33" i="24"/>
  <c r="G33" i="24"/>
  <c r="H33" i="24"/>
  <c r="I33" i="24"/>
  <c r="J33" i="24"/>
  <c r="K33" i="24"/>
  <c r="L33" i="24"/>
  <c r="B10" i="24"/>
  <c r="B11" i="24"/>
  <c r="B12" i="24"/>
  <c r="N13" i="24"/>
  <c r="B14" i="24"/>
  <c r="B15" i="24"/>
  <c r="B16" i="24"/>
  <c r="B17" i="24"/>
  <c r="B19" i="24"/>
  <c r="O19" i="28"/>
  <c r="B20" i="24"/>
  <c r="B22" i="24"/>
  <c r="O22" i="28"/>
  <c r="B23" i="24"/>
  <c r="B25" i="24"/>
  <c r="B26" i="24"/>
  <c r="N27" i="24"/>
  <c r="B29" i="24"/>
  <c r="N30" i="24"/>
  <c r="B31" i="24"/>
  <c r="N32" i="24"/>
  <c r="B4" i="28"/>
  <c r="B5" i="28"/>
  <c r="B6" i="28"/>
  <c r="B7" i="28"/>
  <c r="B8" i="28"/>
  <c r="O9" i="32"/>
  <c r="E33" i="28"/>
  <c r="G33" i="28"/>
  <c r="H33" i="28"/>
  <c r="H34" i="28"/>
  <c r="I33" i="28"/>
  <c r="J33" i="28"/>
  <c r="J34" i="28"/>
  <c r="M33" i="28"/>
  <c r="B11" i="28"/>
  <c r="B12" i="28"/>
  <c r="O13" i="32"/>
  <c r="B14" i="28"/>
  <c r="B15" i="28"/>
  <c r="B16" i="28"/>
  <c r="B17" i="28"/>
  <c r="B19" i="28"/>
  <c r="B20" i="28"/>
  <c r="O21" i="32"/>
  <c r="B22" i="28"/>
  <c r="B23" i="28"/>
  <c r="O24" i="32"/>
  <c r="B25" i="28"/>
  <c r="B26" i="28"/>
  <c r="N28" i="28"/>
  <c r="B29" i="28"/>
  <c r="B31" i="28"/>
  <c r="N32" i="28"/>
  <c r="B4" i="32"/>
  <c r="B5" i="32"/>
  <c r="B6" i="32"/>
  <c r="B7" i="32"/>
  <c r="B8" i="32"/>
  <c r="O9" i="36"/>
  <c r="C33" i="32"/>
  <c r="C33" i="28"/>
  <c r="C34" i="32"/>
  <c r="D33" i="32"/>
  <c r="E33" i="32"/>
  <c r="E34" i="32"/>
  <c r="G33" i="32"/>
  <c r="I33" i="32"/>
  <c r="K33" i="32"/>
  <c r="M33" i="32"/>
  <c r="M34" i="32"/>
  <c r="N10" i="32"/>
  <c r="B11" i="32"/>
  <c r="B12" i="32"/>
  <c r="N13" i="32"/>
  <c r="B14" i="32"/>
  <c r="B15" i="32"/>
  <c r="B16" i="32"/>
  <c r="B17" i="32"/>
  <c r="N18" i="32"/>
  <c r="B19" i="32"/>
  <c r="B20" i="32"/>
  <c r="O21" i="36"/>
  <c r="B22" i="32"/>
  <c r="B23" i="32"/>
  <c r="N24" i="32"/>
  <c r="B25" i="32"/>
  <c r="B26" i="32"/>
  <c r="N27" i="32"/>
  <c r="O28" i="36"/>
  <c r="B29" i="32"/>
  <c r="O30" i="36"/>
  <c r="B31" i="32"/>
  <c r="O32" i="36"/>
  <c r="B4" i="36"/>
  <c r="B5" i="36"/>
  <c r="B6" i="36"/>
  <c r="O6" i="41"/>
  <c r="N6" i="41"/>
  <c r="P6" i="41"/>
  <c r="B7" i="36"/>
  <c r="O7" i="41"/>
  <c r="N7" i="41"/>
  <c r="P7" i="41"/>
  <c r="B8" i="36"/>
  <c r="C33" i="36"/>
  <c r="D33" i="36"/>
  <c r="D34" i="36"/>
  <c r="E33" i="36"/>
  <c r="F33" i="36"/>
  <c r="G33" i="36"/>
  <c r="H33" i="36"/>
  <c r="J33" i="36"/>
  <c r="K33" i="36"/>
  <c r="L33" i="36"/>
  <c r="L33" i="32"/>
  <c r="L34" i="36"/>
  <c r="M33" i="36"/>
  <c r="N10" i="36"/>
  <c r="B11" i="36"/>
  <c r="B12" i="36"/>
  <c r="B14" i="36"/>
  <c r="N14" i="36"/>
  <c r="B15" i="36"/>
  <c r="N15" i="36"/>
  <c r="B16" i="36"/>
  <c r="O16" i="41"/>
  <c r="B17" i="36"/>
  <c r="O17" i="41"/>
  <c r="N17" i="41"/>
  <c r="P17" i="41"/>
  <c r="N18" i="36"/>
  <c r="B19" i="36"/>
  <c r="B20" i="36"/>
  <c r="B22" i="36"/>
  <c r="B23" i="36"/>
  <c r="O24" i="41"/>
  <c r="B25" i="36"/>
  <c r="B26" i="36"/>
  <c r="O27" i="41"/>
  <c r="B29" i="36"/>
  <c r="N30" i="36"/>
  <c r="P30" i="36"/>
  <c r="B31" i="36"/>
  <c r="O32" i="41"/>
  <c r="B11" i="41"/>
  <c r="B12" i="41"/>
  <c r="B19" i="41"/>
  <c r="B22" i="41"/>
  <c r="B23" i="41"/>
  <c r="B25" i="41"/>
  <c r="B26" i="41"/>
  <c r="B29" i="41"/>
  <c r="B31" i="41"/>
  <c r="B33" i="41"/>
  <c r="C33" i="41"/>
  <c r="E33" i="41"/>
  <c r="F33" i="41"/>
  <c r="G33" i="41"/>
  <c r="N14" i="41"/>
  <c r="N15" i="41"/>
  <c r="N16" i="41"/>
  <c r="P7" i="42"/>
  <c r="N5" i="24"/>
  <c r="N6" i="32"/>
  <c r="N30" i="17"/>
  <c r="N12" i="17"/>
  <c r="N5" i="9"/>
  <c r="P5" i="9"/>
  <c r="K30" i="31"/>
  <c r="K32" i="27"/>
  <c r="G30" i="31"/>
  <c r="G32" i="27"/>
  <c r="C30" i="31"/>
  <c r="O29" i="31"/>
  <c r="P4" i="31"/>
  <c r="P4" i="29"/>
  <c r="J34" i="21"/>
  <c r="J34" i="25"/>
  <c r="F34" i="21"/>
  <c r="F34" i="25"/>
  <c r="O33" i="21"/>
  <c r="G30" i="1"/>
  <c r="G31" i="3"/>
  <c r="O14" i="24"/>
  <c r="O12" i="24"/>
  <c r="O27" i="16"/>
  <c r="P27" i="16"/>
  <c r="C34" i="13"/>
  <c r="O33" i="20"/>
  <c r="N33" i="20"/>
  <c r="P33" i="20"/>
  <c r="N14" i="9"/>
  <c r="N4" i="9"/>
  <c r="P4" i="9"/>
  <c r="M32" i="38"/>
  <c r="K31" i="18"/>
  <c r="G32" i="23"/>
  <c r="C32" i="23"/>
  <c r="N31" i="38"/>
  <c r="I31" i="18"/>
  <c r="F34" i="44"/>
  <c r="F34" i="40"/>
  <c r="P4" i="35"/>
  <c r="N10" i="9"/>
  <c r="P10" i="9"/>
  <c r="P26" i="38"/>
  <c r="P27" i="33"/>
  <c r="P19" i="33"/>
  <c r="P9" i="33"/>
  <c r="P27" i="31"/>
  <c r="P19" i="31"/>
  <c r="P27" i="27"/>
  <c r="P9" i="27"/>
  <c r="P29" i="23"/>
  <c r="P12" i="23"/>
  <c r="P4" i="23"/>
  <c r="L31" i="15"/>
  <c r="H31" i="15"/>
  <c r="D31" i="15"/>
  <c r="P15" i="29"/>
  <c r="P39" i="21"/>
  <c r="N40" i="21"/>
  <c r="N12" i="9"/>
  <c r="P12" i="9"/>
  <c r="P22" i="38"/>
  <c r="P23" i="33"/>
  <c r="P5" i="33"/>
  <c r="P15" i="31"/>
  <c r="P7" i="31"/>
  <c r="P23" i="27"/>
  <c r="P13" i="27"/>
  <c r="P5" i="27"/>
  <c r="E34" i="29"/>
  <c r="M34" i="29"/>
  <c r="M34" i="35"/>
  <c r="I34" i="29"/>
  <c r="P31" i="29"/>
  <c r="P29" i="20"/>
  <c r="P39" i="40"/>
  <c r="P25" i="40"/>
  <c r="P17" i="40"/>
  <c r="P9" i="40"/>
  <c r="H34" i="40"/>
  <c r="P32" i="35"/>
  <c r="P24" i="35"/>
  <c r="P16" i="35"/>
  <c r="P8" i="35"/>
  <c r="O33" i="25"/>
  <c r="P6" i="21"/>
  <c r="H32" i="42"/>
  <c r="D32" i="42"/>
  <c r="O33" i="40"/>
  <c r="L34" i="35"/>
  <c r="P11" i="29"/>
  <c r="N33" i="29"/>
  <c r="P6" i="29"/>
  <c r="N33" i="25"/>
  <c r="P33" i="25"/>
  <c r="P25" i="25"/>
  <c r="P14" i="21"/>
  <c r="K34" i="8"/>
  <c r="K34" i="21"/>
  <c r="G34" i="8"/>
  <c r="C34" i="8"/>
  <c r="C34" i="21"/>
  <c r="P33" i="7"/>
  <c r="N34" i="8"/>
  <c r="O33" i="8"/>
  <c r="P33" i="8"/>
  <c r="P29" i="25"/>
  <c r="P17" i="25"/>
  <c r="P9" i="25"/>
  <c r="P32" i="20"/>
  <c r="P14" i="20"/>
  <c r="J34" i="8"/>
  <c r="F34" i="8"/>
  <c r="B34" i="8"/>
  <c r="G34" i="44"/>
  <c r="K34" i="20"/>
  <c r="G34" i="20"/>
  <c r="C34" i="20"/>
  <c r="E34" i="44"/>
  <c r="N29" i="31"/>
  <c r="P29" i="31"/>
  <c r="L30" i="31"/>
  <c r="O21" i="16"/>
  <c r="P21" i="16"/>
  <c r="O15" i="41"/>
  <c r="N15" i="24"/>
  <c r="H31" i="33"/>
  <c r="D30" i="31"/>
  <c r="O11" i="32"/>
  <c r="K33" i="28"/>
  <c r="N4" i="17"/>
  <c r="N17" i="36"/>
  <c r="N4" i="32"/>
  <c r="N16" i="28"/>
  <c r="O15" i="32"/>
  <c r="N15" i="32"/>
  <c r="P15" i="32"/>
  <c r="O14" i="32"/>
  <c r="O6" i="28"/>
  <c r="N6" i="28"/>
  <c r="P6" i="28"/>
  <c r="O6" i="36"/>
  <c r="O10" i="28"/>
  <c r="O27" i="24"/>
  <c r="N14" i="17"/>
  <c r="O13" i="24"/>
  <c r="H33" i="16"/>
  <c r="N13" i="41"/>
  <c r="O8" i="36"/>
  <c r="O32" i="32"/>
  <c r="P4" i="33"/>
  <c r="P9" i="31"/>
  <c r="P29" i="27"/>
  <c r="P10" i="27"/>
  <c r="K34" i="35"/>
  <c r="K34" i="40"/>
  <c r="N33" i="21"/>
  <c r="N34" i="25"/>
  <c r="G32" i="42"/>
  <c r="P29" i="33"/>
  <c r="P22" i="27"/>
  <c r="P16" i="27"/>
  <c r="P6" i="23"/>
  <c r="D30" i="1"/>
  <c r="D31" i="3"/>
  <c r="B34" i="35"/>
  <c r="N31" i="3"/>
  <c r="I34" i="44"/>
  <c r="P27" i="25"/>
  <c r="P6" i="25"/>
  <c r="P21" i="21"/>
  <c r="P10" i="21"/>
  <c r="P20" i="20"/>
  <c r="P16" i="20"/>
  <c r="L34" i="8"/>
  <c r="L34" i="21"/>
  <c r="H34" i="20"/>
  <c r="H34" i="13"/>
  <c r="D34" i="8"/>
  <c r="D34" i="21"/>
  <c r="P23" i="40"/>
  <c r="P4" i="40"/>
  <c r="P23" i="35"/>
  <c r="P6" i="35"/>
  <c r="P20" i="21"/>
  <c r="N40" i="8"/>
  <c r="P39" i="8"/>
  <c r="B34" i="21"/>
  <c r="N40" i="20"/>
  <c r="P33" i="21"/>
  <c r="N34" i="21"/>
  <c r="P28" i="42"/>
  <c r="P8" i="42"/>
  <c r="P4" i="42"/>
  <c r="P17" i="42"/>
  <c r="P10" i="42"/>
  <c r="P4" i="38"/>
  <c r="O31" i="38"/>
  <c r="N17" i="32"/>
  <c r="J31" i="33"/>
  <c r="J32" i="38"/>
  <c r="D33" i="28"/>
  <c r="O8" i="24"/>
  <c r="N18" i="9"/>
  <c r="E31" i="15"/>
  <c r="N8" i="41"/>
  <c r="N18" i="24"/>
  <c r="O18" i="28"/>
  <c r="N14" i="24"/>
  <c r="P14" i="24"/>
  <c r="N10" i="24"/>
  <c r="O7" i="28"/>
  <c r="N4" i="24"/>
  <c r="O21" i="24"/>
  <c r="H32" i="27"/>
  <c r="H30" i="31"/>
  <c r="B31" i="18"/>
  <c r="B32" i="23"/>
  <c r="P6" i="18"/>
  <c r="M31" i="18"/>
  <c r="M31" i="15"/>
  <c r="M30" i="1"/>
  <c r="M31" i="3"/>
  <c r="J34" i="29"/>
  <c r="J34" i="35"/>
  <c r="P8" i="23"/>
  <c r="O31" i="23"/>
  <c r="N8" i="36"/>
  <c r="O16" i="17"/>
  <c r="O15" i="17"/>
  <c r="O14" i="17"/>
  <c r="P14" i="17"/>
  <c r="O8" i="17"/>
  <c r="O7" i="17"/>
  <c r="O6" i="17"/>
  <c r="O4" i="17"/>
  <c r="P4" i="17"/>
  <c r="O32" i="16"/>
  <c r="P32" i="16"/>
  <c r="N34" i="20"/>
  <c r="O33" i="29"/>
  <c r="P33" i="29"/>
  <c r="P14" i="9"/>
  <c r="H33" i="41"/>
  <c r="N7" i="32"/>
  <c r="O7" i="32"/>
  <c r="P7" i="32"/>
  <c r="N30" i="28"/>
  <c r="O28" i="32"/>
  <c r="O6" i="24"/>
  <c r="N6" i="24"/>
  <c r="P6" i="24"/>
  <c r="O5" i="24"/>
  <c r="P5" i="24"/>
  <c r="O24" i="17"/>
  <c r="O18" i="17"/>
  <c r="O17" i="17"/>
  <c r="O5" i="17"/>
  <c r="N15" i="9"/>
  <c r="P15" i="9"/>
  <c r="O33" i="35"/>
  <c r="N33" i="35"/>
  <c r="P33" i="35"/>
  <c r="N16" i="32"/>
  <c r="N11" i="28"/>
  <c r="O8" i="32"/>
  <c r="N5" i="28"/>
  <c r="N4" i="28"/>
  <c r="O4" i="32"/>
  <c r="P4" i="32"/>
  <c r="O17" i="28"/>
  <c r="N17" i="24"/>
  <c r="O16" i="28"/>
  <c r="O15" i="28"/>
  <c r="N15" i="28"/>
  <c r="P15" i="28"/>
  <c r="O14" i="28"/>
  <c r="N12" i="24"/>
  <c r="O12" i="28"/>
  <c r="N12" i="28"/>
  <c r="P12" i="28"/>
  <c r="N11" i="24"/>
  <c r="O11" i="24"/>
  <c r="P11" i="24"/>
  <c r="O11" i="28"/>
  <c r="N8" i="24"/>
  <c r="N7" i="24"/>
  <c r="O5" i="28"/>
  <c r="O4" i="28"/>
  <c r="P4" i="28"/>
  <c r="N30" i="33"/>
  <c r="O30" i="33"/>
  <c r="P30" i="33"/>
  <c r="D31" i="18"/>
  <c r="D32" i="23"/>
  <c r="G31" i="15"/>
  <c r="G31" i="18"/>
  <c r="C31" i="15"/>
  <c r="C31" i="18"/>
  <c r="K30" i="1"/>
  <c r="K31" i="3"/>
  <c r="N14" i="28"/>
  <c r="P14" i="28"/>
  <c r="F33" i="28"/>
  <c r="O12" i="32"/>
  <c r="J33" i="17"/>
  <c r="N7" i="9"/>
  <c r="P7" i="9"/>
  <c r="N6" i="9"/>
  <c r="P6" i="9"/>
  <c r="I32" i="42"/>
  <c r="E32" i="38"/>
  <c r="B32" i="38"/>
  <c r="P28" i="38"/>
  <c r="P16" i="38"/>
  <c r="P13" i="38"/>
  <c r="P8" i="38"/>
  <c r="P5" i="38"/>
  <c r="O31" i="27"/>
  <c r="F31" i="3"/>
  <c r="E34" i="21"/>
  <c r="E34" i="25"/>
  <c r="N7" i="36"/>
  <c r="O7" i="36"/>
  <c r="P7" i="36"/>
  <c r="O5" i="36"/>
  <c r="N24" i="28"/>
  <c r="O17" i="32"/>
  <c r="P17" i="32"/>
  <c r="N16" i="17"/>
  <c r="O16" i="24"/>
  <c r="N15" i="17"/>
  <c r="P15" i="17"/>
  <c r="N8" i="9"/>
  <c r="P8" i="9"/>
  <c r="P27" i="38"/>
  <c r="P17" i="38"/>
  <c r="P12" i="38"/>
  <c r="P9" i="38"/>
  <c r="D31" i="33"/>
  <c r="P14" i="33"/>
  <c r="B30" i="31"/>
  <c r="P24" i="31"/>
  <c r="P17" i="31"/>
  <c r="P10" i="31"/>
  <c r="M32" i="27"/>
  <c r="P15" i="27"/>
  <c r="B30" i="1"/>
  <c r="B31" i="3"/>
  <c r="G34" i="40"/>
  <c r="L34" i="25"/>
  <c r="L34" i="29"/>
  <c r="D34" i="44"/>
  <c r="K32" i="38"/>
  <c r="P18" i="33"/>
  <c r="E30" i="31"/>
  <c r="P25" i="31"/>
  <c r="P23" i="31"/>
  <c r="P20" i="31"/>
  <c r="P18" i="31"/>
  <c r="P16" i="31"/>
  <c r="P28" i="27"/>
  <c r="P6" i="27"/>
  <c r="P5" i="23"/>
  <c r="P32" i="40"/>
  <c r="P27" i="40"/>
  <c r="F34" i="35"/>
  <c r="P32" i="29"/>
  <c r="P30" i="29"/>
  <c r="P25" i="29"/>
  <c r="P22" i="29"/>
  <c r="P17" i="29"/>
  <c r="I34" i="25"/>
  <c r="P4" i="25"/>
  <c r="P28" i="21"/>
  <c r="P22" i="21"/>
  <c r="P5" i="21"/>
  <c r="I34" i="20"/>
  <c r="P10" i="20"/>
  <c r="P39" i="13"/>
  <c r="M34" i="8"/>
  <c r="P28" i="40"/>
  <c r="P26" i="40"/>
  <c r="P27" i="35"/>
  <c r="P19" i="35"/>
  <c r="P17" i="35"/>
  <c r="P12" i="35"/>
  <c r="P29" i="29"/>
  <c r="P26" i="29"/>
  <c r="P21" i="29"/>
  <c r="P18" i="29"/>
  <c r="P7" i="25"/>
  <c r="P5" i="25"/>
  <c r="P32" i="21"/>
  <c r="P29" i="21"/>
  <c r="P16" i="21"/>
  <c r="P8" i="21"/>
  <c r="P17" i="24"/>
  <c r="P12" i="24"/>
  <c r="P11" i="28"/>
  <c r="P15" i="41"/>
  <c r="O15" i="36"/>
  <c r="B33" i="32"/>
  <c r="O14" i="36"/>
  <c r="O10" i="24"/>
  <c r="N8" i="17"/>
  <c r="G33" i="16"/>
  <c r="O17" i="16"/>
  <c r="O15" i="16"/>
  <c r="G33" i="11"/>
  <c r="N24" i="36"/>
  <c r="O4" i="16"/>
  <c r="P8" i="24"/>
  <c r="N27" i="36"/>
  <c r="N14" i="32"/>
  <c r="N5" i="36"/>
  <c r="P5" i="36"/>
  <c r="O4" i="41"/>
  <c r="N5" i="41"/>
  <c r="D33" i="41"/>
  <c r="D34" i="41"/>
  <c r="P15" i="36"/>
  <c r="O11" i="16"/>
  <c r="P11" i="16"/>
  <c r="O10" i="16"/>
  <c r="P10" i="16"/>
  <c r="N32" i="9"/>
  <c r="N10" i="17"/>
  <c r="N10" i="28"/>
  <c r="P10" i="28"/>
  <c r="O10" i="32"/>
  <c r="N8" i="28"/>
  <c r="N7" i="28"/>
  <c r="O6" i="32"/>
  <c r="P6" i="32"/>
  <c r="O5" i="32"/>
  <c r="N5" i="32"/>
  <c r="P5" i="32"/>
  <c r="M33" i="24"/>
  <c r="O27" i="28"/>
  <c r="P31" i="38"/>
  <c r="O14" i="41"/>
  <c r="O8" i="41"/>
  <c r="P8" i="41"/>
  <c r="N8" i="32"/>
  <c r="P8" i="32"/>
  <c r="O4" i="36"/>
  <c r="N4" i="36"/>
  <c r="P4" i="36"/>
  <c r="O30" i="32"/>
  <c r="O27" i="32"/>
  <c r="N27" i="28"/>
  <c r="N16" i="24"/>
  <c r="P16" i="24"/>
  <c r="O8" i="28"/>
  <c r="P8" i="28"/>
  <c r="F33" i="24"/>
  <c r="F34" i="28"/>
  <c r="O7" i="24"/>
  <c r="P7" i="24"/>
  <c r="B33" i="17"/>
  <c r="L33" i="17"/>
  <c r="N33" i="17"/>
  <c r="N6" i="36"/>
  <c r="P6" i="36"/>
  <c r="O5" i="41"/>
  <c r="O17" i="36"/>
  <c r="P17" i="36"/>
  <c r="O16" i="36"/>
  <c r="L33" i="28"/>
  <c r="N17" i="17"/>
  <c r="O15" i="24"/>
  <c r="P15" i="24"/>
  <c r="N13" i="17"/>
  <c r="P13" i="17"/>
  <c r="N11" i="17"/>
  <c r="O4" i="24"/>
  <c r="P4" i="24"/>
  <c r="N4" i="41"/>
  <c r="I33" i="36"/>
  <c r="N17" i="28"/>
  <c r="C34" i="28"/>
  <c r="O16" i="32"/>
  <c r="N6" i="17"/>
  <c r="N5" i="17"/>
  <c r="J33" i="9"/>
  <c r="N31" i="27"/>
  <c r="P31" i="27"/>
  <c r="P8" i="27"/>
  <c r="N31" i="23"/>
  <c r="P31" i="23"/>
  <c r="P4" i="18"/>
  <c r="N30" i="18"/>
  <c r="P14" i="38"/>
  <c r="P17" i="33"/>
  <c r="P14" i="27"/>
  <c r="P10" i="23"/>
  <c r="L32" i="23"/>
  <c r="L31" i="18"/>
  <c r="I31" i="15"/>
  <c r="N33" i="40"/>
  <c r="P33" i="40"/>
  <c r="N16" i="9"/>
  <c r="P16" i="9"/>
  <c r="P6" i="38"/>
  <c r="P4" i="27"/>
  <c r="O7" i="16"/>
  <c r="O9" i="16"/>
  <c r="O19" i="16"/>
  <c r="O20" i="16"/>
  <c r="O22" i="16"/>
  <c r="O23" i="16"/>
  <c r="O25" i="16"/>
  <c r="O26" i="16"/>
  <c r="O28" i="16"/>
  <c r="O29" i="16"/>
  <c r="O31" i="16"/>
  <c r="O33" i="16"/>
  <c r="P6" i="31"/>
  <c r="P11" i="27"/>
  <c r="P21" i="23"/>
  <c r="P19" i="23"/>
  <c r="P7" i="23"/>
  <c r="N31" i="15"/>
  <c r="P30" i="3"/>
  <c r="C34" i="35"/>
  <c r="C34" i="40"/>
  <c r="D34" i="29"/>
  <c r="D34" i="35"/>
  <c r="P14" i="40"/>
  <c r="I34" i="35"/>
  <c r="P30" i="35"/>
  <c r="P18" i="25"/>
  <c r="M34" i="21"/>
  <c r="P24" i="21"/>
  <c r="M34" i="20"/>
  <c r="P28" i="25"/>
  <c r="P39" i="7"/>
  <c r="P24" i="40"/>
  <c r="P9" i="35"/>
  <c r="P31" i="25"/>
  <c r="P15" i="25"/>
  <c r="P19" i="21"/>
  <c r="P47" i="20"/>
  <c r="N48" i="20"/>
  <c r="F34" i="20"/>
  <c r="P25" i="20"/>
  <c r="F34" i="13"/>
  <c r="P14" i="32"/>
  <c r="P30" i="18"/>
  <c r="N31" i="18"/>
  <c r="P8" i="17"/>
  <c r="P5" i="17"/>
  <c r="P17" i="17"/>
  <c r="M34" i="28"/>
  <c r="P33" i="13"/>
  <c r="P27" i="13"/>
  <c r="L34" i="32"/>
  <c r="N9" i="32"/>
  <c r="N28" i="32"/>
  <c r="J33" i="32"/>
  <c r="F33" i="32"/>
  <c r="O27" i="36"/>
  <c r="O10" i="36"/>
  <c r="H33" i="32"/>
  <c r="H34" i="36"/>
  <c r="O18" i="36"/>
  <c r="P10" i="32"/>
  <c r="O33" i="44"/>
  <c r="P5" i="42"/>
  <c r="P11" i="42"/>
  <c r="P23" i="42"/>
  <c r="O31" i="42"/>
  <c r="L34" i="17"/>
  <c r="P7" i="17"/>
  <c r="P16" i="17"/>
  <c r="P6" i="17"/>
  <c r="P10" i="24"/>
  <c r="P13" i="24"/>
  <c r="P17" i="28"/>
  <c r="P7" i="28"/>
  <c r="P5" i="28"/>
  <c r="I34" i="28"/>
  <c r="P16" i="28"/>
  <c r="K34" i="28"/>
  <c r="P27" i="24"/>
  <c r="P16" i="32"/>
  <c r="P8" i="36"/>
  <c r="P14" i="36"/>
  <c r="F34" i="36"/>
  <c r="P10" i="36"/>
  <c r="P5" i="41"/>
  <c r="P16" i="41"/>
  <c r="P4" i="41"/>
  <c r="P14" i="41"/>
  <c r="I38" i="41"/>
  <c r="I39" i="41"/>
  <c r="I40" i="41"/>
  <c r="I41" i="41"/>
  <c r="B34" i="16"/>
  <c r="O33" i="17"/>
  <c r="P33" i="17"/>
  <c r="M34" i="17"/>
  <c r="I34" i="24"/>
  <c r="I34" i="16"/>
  <c r="C34" i="16"/>
  <c r="N21" i="28"/>
  <c r="N9" i="28"/>
  <c r="B33" i="28"/>
  <c r="N33" i="28"/>
  <c r="Q9" i="28"/>
  <c r="P28" i="32"/>
  <c r="G34" i="11"/>
  <c r="O13" i="28"/>
  <c r="N13" i="28"/>
  <c r="P13" i="28"/>
  <c r="P18" i="9"/>
  <c r="N31" i="28"/>
  <c r="O31" i="28"/>
  <c r="P31" i="28"/>
  <c r="E34" i="16"/>
  <c r="O9" i="17"/>
  <c r="O28" i="28"/>
  <c r="P28" i="28"/>
  <c r="O25" i="24"/>
  <c r="L34" i="16"/>
  <c r="D34" i="32"/>
  <c r="D34" i="17"/>
  <c r="O19" i="36"/>
  <c r="N32" i="32"/>
  <c r="P32" i="32"/>
  <c r="O32" i="28"/>
  <c r="P32" i="28"/>
  <c r="O12" i="41"/>
  <c r="N12" i="41"/>
  <c r="P12" i="41"/>
  <c r="O31" i="36"/>
  <c r="O11" i="36"/>
  <c r="O12" i="36"/>
  <c r="O13" i="36"/>
  <c r="O20" i="36"/>
  <c r="O22" i="36"/>
  <c r="O23" i="36"/>
  <c r="O24" i="36"/>
  <c r="O25" i="36"/>
  <c r="O26" i="36"/>
  <c r="O29" i="36"/>
  <c r="O33" i="36"/>
  <c r="O29" i="24"/>
  <c r="K34" i="17"/>
  <c r="C34" i="17"/>
  <c r="J34" i="17"/>
  <c r="P9" i="9"/>
  <c r="P27" i="36"/>
  <c r="K34" i="32"/>
  <c r="N23" i="28"/>
  <c r="P9" i="32"/>
  <c r="O10" i="41"/>
  <c r="I34" i="32"/>
  <c r="P30" i="9"/>
  <c r="P27" i="9"/>
  <c r="I34" i="11"/>
  <c r="N29" i="32"/>
  <c r="F34" i="41"/>
  <c r="E34" i="28"/>
  <c r="G34" i="41"/>
  <c r="G34" i="36"/>
  <c r="P30" i="24"/>
  <c r="D34" i="16"/>
  <c r="P21" i="17"/>
  <c r="Q21" i="17"/>
  <c r="P13" i="32"/>
  <c r="P32" i="24"/>
  <c r="J34" i="32"/>
  <c r="Q17" i="17"/>
  <c r="Q4" i="17"/>
  <c r="Q14" i="17"/>
  <c r="Q12" i="17"/>
  <c r="Q6" i="17"/>
  <c r="P24" i="32"/>
  <c r="H34" i="32"/>
  <c r="N22" i="24"/>
  <c r="H34" i="16"/>
  <c r="N26" i="36"/>
  <c r="F34" i="32"/>
  <c r="H34" i="41"/>
  <c r="O18" i="24"/>
  <c r="P18" i="24"/>
  <c r="P27" i="32"/>
  <c r="G34" i="16"/>
  <c r="N19" i="41"/>
  <c r="L34" i="11"/>
  <c r="D34" i="11"/>
  <c r="N21" i="32"/>
  <c r="P21" i="32"/>
  <c r="O30" i="28"/>
  <c r="P30" i="28"/>
  <c r="O24" i="24"/>
  <c r="N20" i="28"/>
  <c r="O23" i="28"/>
  <c r="N20" i="24"/>
  <c r="N29" i="17"/>
  <c r="Q29" i="17"/>
  <c r="M34" i="16"/>
  <c r="I34" i="17"/>
  <c r="P18" i="36"/>
  <c r="K34" i="36"/>
  <c r="G34" i="17"/>
  <c r="N21" i="24"/>
  <c r="P21" i="24"/>
  <c r="P29" i="16"/>
  <c r="P26" i="16"/>
  <c r="N29" i="9"/>
  <c r="P29" i="9"/>
  <c r="N25" i="9"/>
  <c r="P25" i="9"/>
  <c r="N30" i="32"/>
  <c r="P30" i="32"/>
  <c r="N32" i="17"/>
  <c r="Q32" i="17"/>
  <c r="O18" i="41"/>
  <c r="N29" i="41"/>
  <c r="O30" i="41"/>
  <c r="O22" i="41"/>
  <c r="N22" i="41"/>
  <c r="P22" i="41"/>
  <c r="N19" i="36"/>
  <c r="N12" i="36"/>
  <c r="O31" i="32"/>
  <c r="C34" i="36"/>
  <c r="J34" i="36"/>
  <c r="N25" i="28"/>
  <c r="G34" i="32"/>
  <c r="J34" i="24"/>
  <c r="O28" i="17"/>
  <c r="O20" i="17"/>
  <c r="E34" i="11"/>
  <c r="P23" i="28"/>
  <c r="K34" i="24"/>
  <c r="K34" i="16"/>
  <c r="P19" i="36"/>
  <c r="C34" i="11"/>
  <c r="O13" i="41"/>
  <c r="P13" i="41"/>
  <c r="N13" i="36"/>
  <c r="N11" i="36"/>
  <c r="O11" i="41"/>
  <c r="N11" i="41"/>
  <c r="P11" i="41"/>
  <c r="O28" i="24"/>
  <c r="N28" i="17"/>
  <c r="N26" i="17"/>
  <c r="O26" i="24"/>
  <c r="N26" i="24"/>
  <c r="P26" i="24"/>
  <c r="Q24" i="17"/>
  <c r="P24" i="17"/>
  <c r="N22" i="17"/>
  <c r="O22" i="24"/>
  <c r="P22" i="24"/>
  <c r="O20" i="24"/>
  <c r="N9" i="36"/>
  <c r="O9" i="41"/>
  <c r="O19" i="41"/>
  <c r="O20" i="41"/>
  <c r="O21" i="41"/>
  <c r="O23" i="41"/>
  <c r="O25" i="41"/>
  <c r="O26" i="41"/>
  <c r="O28" i="41"/>
  <c r="O29" i="41"/>
  <c r="O31" i="41"/>
  <c r="O33" i="41"/>
  <c r="B33" i="36"/>
  <c r="B34" i="36"/>
  <c r="O26" i="32"/>
  <c r="N26" i="28"/>
  <c r="Q26" i="28"/>
  <c r="N31" i="24"/>
  <c r="O25" i="28"/>
  <c r="N23" i="24"/>
  <c r="N31" i="17"/>
  <c r="Q31" i="17"/>
  <c r="P32" i="17"/>
  <c r="N23" i="36"/>
  <c r="N23" i="9"/>
  <c r="P23" i="9"/>
  <c r="O11" i="46"/>
  <c r="P11" i="46"/>
  <c r="O12" i="45"/>
  <c r="P24" i="16"/>
  <c r="N31" i="9"/>
  <c r="P31" i="9"/>
  <c r="N25" i="17"/>
  <c r="O26" i="45"/>
  <c r="N26" i="41"/>
  <c r="O22" i="45"/>
  <c r="O26" i="17"/>
  <c r="O25" i="17"/>
  <c r="O23" i="17"/>
  <c r="O19" i="17"/>
  <c r="P27" i="28"/>
  <c r="O23" i="46"/>
  <c r="P23" i="46"/>
  <c r="P18" i="16"/>
  <c r="N26" i="9"/>
  <c r="P26" i="9"/>
  <c r="O22" i="46"/>
  <c r="O12" i="17"/>
  <c r="P12" i="17"/>
  <c r="Q13" i="17"/>
  <c r="Q10" i="17"/>
  <c r="Q11" i="17"/>
  <c r="Q15" i="17"/>
  <c r="Q8" i="17"/>
  <c r="Q16" i="17"/>
  <c r="Q7" i="17"/>
  <c r="Q33" i="17"/>
  <c r="Q5" i="17"/>
  <c r="F34" i="24"/>
  <c r="N32" i="36"/>
  <c r="P30" i="17"/>
  <c r="Q30" i="17"/>
  <c r="B34" i="41"/>
  <c r="N29" i="36"/>
  <c r="O11" i="17"/>
  <c r="P11" i="17"/>
  <c r="O31" i="46"/>
  <c r="P31" i="46"/>
  <c r="E34" i="24"/>
  <c r="E34" i="17"/>
  <c r="Q18" i="17"/>
  <c r="P18" i="17"/>
  <c r="N20" i="17"/>
  <c r="Q20" i="17"/>
  <c r="N28" i="24"/>
  <c r="O26" i="28"/>
  <c r="O24" i="28"/>
  <c r="P24" i="28"/>
  <c r="N24" i="24"/>
  <c r="L34" i="24"/>
  <c r="L34" i="28"/>
  <c r="D34" i="24"/>
  <c r="D34" i="28"/>
  <c r="G34" i="24"/>
  <c r="N11" i="32"/>
  <c r="N12" i="32"/>
  <c r="N19" i="32"/>
  <c r="N20" i="32"/>
  <c r="N22" i="32"/>
  <c r="N23" i="32"/>
  <c r="N25" i="32"/>
  <c r="N26" i="32"/>
  <c r="N31" i="32"/>
  <c r="N33" i="32"/>
  <c r="O22" i="32"/>
  <c r="P22" i="32"/>
  <c r="Q31" i="32"/>
  <c r="F34" i="11"/>
  <c r="O25" i="46"/>
  <c r="P25" i="46"/>
  <c r="N25" i="45"/>
  <c r="O20" i="46"/>
  <c r="P20" i="46"/>
  <c r="N20" i="45"/>
  <c r="N20" i="41"/>
  <c r="O33" i="24"/>
  <c r="B34" i="17"/>
  <c r="O31" i="24"/>
  <c r="N25" i="36"/>
  <c r="N22" i="36"/>
  <c r="N20" i="36"/>
  <c r="Q9" i="17"/>
  <c r="P9" i="17"/>
  <c r="O31" i="17"/>
  <c r="H34" i="11"/>
  <c r="H34" i="17"/>
  <c r="E34" i="41"/>
  <c r="E34" i="36"/>
  <c r="N28" i="36"/>
  <c r="O29" i="17"/>
  <c r="P29" i="17"/>
  <c r="N28" i="9"/>
  <c r="P28" i="9"/>
  <c r="N20" i="9"/>
  <c r="P20" i="9"/>
  <c r="O12" i="46"/>
  <c r="P12" i="46"/>
  <c r="I34" i="36"/>
  <c r="M34" i="24"/>
  <c r="G34" i="28"/>
  <c r="C34" i="24"/>
  <c r="N21" i="36"/>
  <c r="N22" i="28"/>
  <c r="P22" i="28"/>
  <c r="O20" i="32"/>
  <c r="N18" i="28"/>
  <c r="O18" i="32"/>
  <c r="P18" i="32"/>
  <c r="N23" i="17"/>
  <c r="O23" i="24"/>
  <c r="N19" i="17"/>
  <c r="P19" i="17"/>
  <c r="O19" i="24"/>
  <c r="O9" i="24"/>
  <c r="P19" i="16"/>
  <c r="N31" i="36"/>
  <c r="O19" i="32"/>
  <c r="N19" i="28"/>
  <c r="P19" i="28"/>
  <c r="N29" i="24"/>
  <c r="O29" i="28"/>
  <c r="N25" i="24"/>
  <c r="O20" i="28"/>
  <c r="P20" i="28"/>
  <c r="H34" i="24"/>
  <c r="O10" i="17"/>
  <c r="P10" i="17"/>
  <c r="K34" i="11"/>
  <c r="O11" i="45"/>
  <c r="N19" i="24"/>
  <c r="B33" i="24"/>
  <c r="N33" i="24"/>
  <c r="O9" i="28"/>
  <c r="N9" i="24"/>
  <c r="C34" i="41"/>
  <c r="P32" i="9"/>
  <c r="B33" i="9"/>
  <c r="F34" i="16"/>
  <c r="P27" i="17"/>
  <c r="Q27" i="17"/>
  <c r="O31" i="45"/>
  <c r="N31" i="41"/>
  <c r="O25" i="45"/>
  <c r="N25" i="41"/>
  <c r="P25" i="41"/>
  <c r="O23" i="45"/>
  <c r="N23" i="41"/>
  <c r="N29" i="28"/>
  <c r="O29" i="32"/>
  <c r="P29" i="32"/>
  <c r="O25" i="32"/>
  <c r="O23" i="32"/>
  <c r="O22" i="17"/>
  <c r="P22" i="17"/>
  <c r="J34" i="11"/>
  <c r="J34" i="16"/>
  <c r="O19" i="45"/>
  <c r="O29" i="45"/>
  <c r="N29" i="45"/>
  <c r="P29" i="45"/>
  <c r="N23" i="45"/>
  <c r="O29" i="46"/>
  <c r="P29" i="46"/>
  <c r="O19" i="46"/>
  <c r="O26" i="46"/>
  <c r="P26" i="46"/>
  <c r="O20" i="45"/>
  <c r="P20" i="45"/>
  <c r="N16" i="45"/>
  <c r="P16" i="45"/>
  <c r="N15" i="45"/>
  <c r="P15" i="45"/>
  <c r="N19" i="45"/>
  <c r="N7" i="45"/>
  <c r="P7" i="45"/>
  <c r="N10" i="45"/>
  <c r="N6" i="45"/>
  <c r="P6" i="45"/>
  <c r="N12" i="45"/>
  <c r="P12" i="45"/>
  <c r="N4" i="45"/>
  <c r="P4" i="45"/>
  <c r="N8" i="45"/>
  <c r="N22" i="45"/>
  <c r="N26" i="45"/>
  <c r="N31" i="45"/>
  <c r="B34" i="49"/>
  <c r="N11" i="45"/>
  <c r="N24" i="41"/>
  <c r="P24" i="41"/>
  <c r="M33" i="41"/>
  <c r="M34" i="41"/>
  <c r="N21" i="41"/>
  <c r="N10" i="41"/>
  <c r="P10" i="41"/>
  <c r="L33" i="41"/>
  <c r="L34" i="41"/>
  <c r="K33" i="41"/>
  <c r="K34" i="41"/>
  <c r="N28" i="41"/>
  <c r="N30" i="41"/>
  <c r="O28" i="45"/>
  <c r="N28" i="45"/>
  <c r="P28" i="45"/>
  <c r="N27" i="41"/>
  <c r="P27" i="41"/>
  <c r="J33" i="41"/>
  <c r="J34" i="41"/>
  <c r="O13" i="45"/>
  <c r="O10" i="45"/>
  <c r="O9" i="45"/>
  <c r="O32" i="45"/>
  <c r="N32" i="45"/>
  <c r="P32" i="45"/>
  <c r="O30" i="45"/>
  <c r="O27" i="45"/>
  <c r="O24" i="45"/>
  <c r="O18" i="45"/>
  <c r="O21" i="45"/>
  <c r="N21" i="45"/>
  <c r="P21" i="45"/>
  <c r="N32" i="41"/>
  <c r="P32" i="41"/>
  <c r="N18" i="41"/>
  <c r="I33" i="41"/>
  <c r="I34" i="41"/>
  <c r="N9" i="41"/>
  <c r="N17" i="45"/>
  <c r="L33" i="45"/>
  <c r="L34" i="46"/>
  <c r="K33" i="45"/>
  <c r="K34" i="45"/>
  <c r="J33" i="45"/>
  <c r="I33" i="45"/>
  <c r="H33" i="45"/>
  <c r="H34" i="46"/>
  <c r="G33" i="45"/>
  <c r="G34" i="45"/>
  <c r="P32" i="46"/>
  <c r="P13" i="46"/>
  <c r="P10" i="46"/>
  <c r="P27" i="46"/>
  <c r="P24" i="46"/>
  <c r="P21" i="46"/>
  <c r="P18" i="46"/>
  <c r="F33" i="45"/>
  <c r="F34" i="46"/>
  <c r="N24" i="45"/>
  <c r="E33" i="45"/>
  <c r="E34" i="45"/>
  <c r="N13" i="45"/>
  <c r="N9" i="45"/>
  <c r="N27" i="45"/>
  <c r="N18" i="45"/>
  <c r="P18" i="45"/>
  <c r="D33" i="45"/>
  <c r="P30" i="46"/>
  <c r="N30" i="45"/>
  <c r="C33" i="45"/>
  <c r="C34" i="46"/>
  <c r="P28" i="46"/>
  <c r="B33" i="45"/>
  <c r="P9" i="46"/>
  <c r="N33" i="44"/>
  <c r="P33" i="44"/>
  <c r="M33" i="45"/>
  <c r="N31" i="42"/>
  <c r="P31" i="42"/>
  <c r="P25" i="28"/>
  <c r="O33" i="32"/>
  <c r="B34" i="32"/>
  <c r="P12" i="36"/>
  <c r="P30" i="41"/>
  <c r="P19" i="41"/>
  <c r="P20" i="24"/>
  <c r="P31" i="45"/>
  <c r="P21" i="28"/>
  <c r="P26" i="45"/>
  <c r="P19" i="45"/>
  <c r="P26" i="36"/>
  <c r="P11" i="45"/>
  <c r="P23" i="45"/>
  <c r="P31" i="41"/>
  <c r="P29" i="41"/>
  <c r="P25" i="24"/>
  <c r="P18" i="28"/>
  <c r="P12" i="32"/>
  <c r="P9" i="36"/>
  <c r="P23" i="41"/>
  <c r="P23" i="32"/>
  <c r="P25" i="45"/>
  <c r="P31" i="24"/>
  <c r="P28" i="24"/>
  <c r="Q23" i="17"/>
  <c r="P23" i="17"/>
  <c r="P20" i="32"/>
  <c r="P19" i="32"/>
  <c r="P32" i="36"/>
  <c r="P28" i="41"/>
  <c r="B34" i="11"/>
  <c r="N33" i="9"/>
  <c r="P19" i="24"/>
  <c r="P31" i="36"/>
  <c r="P26" i="32"/>
  <c r="P25" i="32"/>
  <c r="P23" i="36"/>
  <c r="P26" i="17"/>
  <c r="Q26" i="17"/>
  <c r="P22" i="45"/>
  <c r="P30" i="45"/>
  <c r="P21" i="41"/>
  <c r="P29" i="24"/>
  <c r="P21" i="36"/>
  <c r="P28" i="36"/>
  <c r="P20" i="41"/>
  <c r="P29" i="36"/>
  <c r="Q22" i="17"/>
  <c r="P11" i="36"/>
  <c r="Q28" i="17"/>
  <c r="P28" i="17"/>
  <c r="P26" i="28"/>
  <c r="P20" i="36"/>
  <c r="P20" i="17"/>
  <c r="P29" i="28"/>
  <c r="P9" i="24"/>
  <c r="P22" i="36"/>
  <c r="P24" i="24"/>
  <c r="P25" i="17"/>
  <c r="Q25" i="17"/>
  <c r="P23" i="24"/>
  <c r="P13" i="36"/>
  <c r="P10" i="45"/>
  <c r="P13" i="45"/>
  <c r="P27" i="45"/>
  <c r="O33" i="45"/>
  <c r="J34" i="45"/>
  <c r="P24" i="45"/>
  <c r="P9" i="45"/>
  <c r="I34" i="45"/>
  <c r="P9" i="41"/>
  <c r="M34" i="45"/>
  <c r="M34" i="46"/>
  <c r="L34" i="45"/>
  <c r="J34" i="46"/>
  <c r="I34" i="46"/>
  <c r="H34" i="45"/>
  <c r="F34" i="45"/>
  <c r="E34" i="46"/>
  <c r="D34" i="46"/>
  <c r="D34" i="45"/>
  <c r="C34" i="45"/>
  <c r="B34" i="45"/>
  <c r="P33" i="9"/>
  <c r="E103" i="99"/>
  <c r="C103" i="99"/>
  <c r="K103" i="99"/>
  <c r="I103" i="99"/>
  <c r="Q31" i="24"/>
  <c r="Q11" i="24"/>
  <c r="Q10" i="24"/>
  <c r="Q21" i="24"/>
  <c r="Q30" i="24"/>
  <c r="Q29" i="24"/>
  <c r="Q14" i="24"/>
  <c r="Q4" i="24"/>
  <c r="Q22" i="24"/>
  <c r="Q15" i="24"/>
  <c r="Q28" i="24"/>
  <c r="Q33" i="24"/>
  <c r="P33" i="24"/>
  <c r="Q27" i="24"/>
  <c r="Q23" i="24"/>
  <c r="Q24" i="24"/>
  <c r="Q18" i="24"/>
  <c r="Q6" i="24"/>
  <c r="Q9" i="24"/>
  <c r="Q5" i="24"/>
  <c r="Q8" i="24"/>
  <c r="Q19" i="24"/>
  <c r="Q17" i="24"/>
  <c r="Q32" i="24"/>
  <c r="Q7" i="24"/>
  <c r="Q25" i="24"/>
  <c r="Q12" i="24"/>
  <c r="Q13" i="24"/>
  <c r="Q26" i="24"/>
  <c r="Q20" i="24"/>
  <c r="Q24" i="32"/>
  <c r="Q7" i="32"/>
  <c r="Q23" i="32"/>
  <c r="Q20" i="32"/>
  <c r="Q22" i="32"/>
  <c r="Q6" i="32"/>
  <c r="Q28" i="32"/>
  <c r="Q17" i="32"/>
  <c r="Q12" i="32"/>
  <c r="P33" i="32"/>
  <c r="Q9" i="32"/>
  <c r="Q15" i="32"/>
  <c r="Q13" i="32"/>
  <c r="Q5" i="32"/>
  <c r="Q33" i="32"/>
  <c r="Q18" i="32"/>
  <c r="Q27" i="32"/>
  <c r="Q14" i="32"/>
  <c r="Q8" i="32"/>
  <c r="Q21" i="32"/>
  <c r="Q19" i="32"/>
  <c r="Q16" i="32"/>
  <c r="Q29" i="32"/>
  <c r="Q32" i="32"/>
  <c r="Q26" i="32"/>
  <c r="Q4" i="32"/>
  <c r="Q10" i="32"/>
  <c r="Q25" i="32"/>
  <c r="N33" i="41"/>
  <c r="Q26" i="41"/>
  <c r="Q23" i="28"/>
  <c r="Q10" i="28"/>
  <c r="Q14" i="28"/>
  <c r="Q32" i="28"/>
  <c r="Q30" i="28"/>
  <c r="Q17" i="28"/>
  <c r="Q11" i="28"/>
  <c r="Q5" i="28"/>
  <c r="Q12" i="28"/>
  <c r="Q29" i="28"/>
  <c r="Q16" i="28"/>
  <c r="Q33" i="28"/>
  <c r="Q25" i="28"/>
  <c r="Q24" i="28"/>
  <c r="Q20" i="28"/>
  <c r="Q15" i="28"/>
  <c r="Q6" i="28"/>
  <c r="Q31" i="28"/>
  <c r="Q13" i="28"/>
  <c r="Q8" i="28"/>
  <c r="Q27" i="28"/>
  <c r="Q4" i="28"/>
  <c r="Q28" i="28"/>
  <c r="Q7" i="28"/>
  <c r="Q21" i="28"/>
  <c r="Q18" i="28"/>
  <c r="Q16" i="24"/>
  <c r="Q19" i="28"/>
  <c r="Q11" i="32"/>
  <c r="P26" i="41"/>
  <c r="P18" i="41"/>
  <c r="P24" i="36"/>
  <c r="P11" i="32"/>
  <c r="P25" i="36"/>
  <c r="B34" i="24"/>
  <c r="G34" i="46"/>
  <c r="Q22" i="28"/>
  <c r="B34" i="28"/>
  <c r="P17" i="45"/>
  <c r="P8" i="45"/>
  <c r="P31" i="17"/>
  <c r="Q19" i="17"/>
  <c r="P9" i="28"/>
  <c r="K34" i="46"/>
  <c r="P31" i="32"/>
  <c r="O33" i="28"/>
  <c r="P33" i="28"/>
  <c r="Q30" i="32"/>
  <c r="P19" i="46"/>
  <c r="N16" i="36"/>
  <c r="J31" i="15"/>
  <c r="O14" i="46"/>
  <c r="N33" i="49"/>
  <c r="P33" i="49"/>
  <c r="N31" i="47"/>
  <c r="P31" i="47"/>
  <c r="B33" i="46"/>
  <c r="O11" i="50"/>
  <c r="O22" i="50"/>
  <c r="P22" i="50"/>
  <c r="N22" i="46"/>
  <c r="N33" i="46"/>
  <c r="Q32" i="50"/>
  <c r="Q11" i="50"/>
  <c r="F31" i="18"/>
  <c r="N5" i="45"/>
  <c r="G32" i="47"/>
  <c r="P5" i="50"/>
  <c r="O33" i="50"/>
  <c r="P33" i="50"/>
  <c r="Q19" i="50"/>
  <c r="Q16" i="50"/>
  <c r="Q5" i="50"/>
  <c r="Q20" i="50"/>
  <c r="Q30" i="50"/>
  <c r="Q31" i="50"/>
  <c r="Q14" i="50"/>
  <c r="Q23" i="50"/>
  <c r="Q12" i="50"/>
  <c r="Q10" i="50"/>
  <c r="Q24" i="50"/>
  <c r="Q27" i="50"/>
  <c r="Q4" i="50"/>
  <c r="Q25" i="50"/>
  <c r="Q13" i="50"/>
  <c r="Q7" i="50"/>
  <c r="Q22" i="50"/>
  <c r="Q6" i="50"/>
  <c r="Q28" i="50"/>
  <c r="P5" i="47"/>
  <c r="Q26" i="50"/>
  <c r="P18" i="50"/>
  <c r="Q15" i="50"/>
  <c r="Q17" i="50"/>
  <c r="N31" i="51"/>
  <c r="P31" i="51"/>
  <c r="B34" i="52"/>
  <c r="P12" i="55"/>
  <c r="N99" i="59"/>
  <c r="P99" i="59"/>
  <c r="K64" i="61"/>
  <c r="J100" i="59"/>
  <c r="G64" i="61"/>
  <c r="K49" i="63"/>
  <c r="P14" i="65"/>
  <c r="N20" i="74"/>
  <c r="P20" i="74"/>
  <c r="B21" i="74"/>
  <c r="D21" i="75"/>
  <c r="H23" i="76"/>
  <c r="N21" i="79"/>
  <c r="P8" i="77"/>
  <c r="N21" i="77"/>
  <c r="K18" i="90"/>
  <c r="K17" i="89"/>
  <c r="K18" i="89"/>
  <c r="P20" i="75"/>
  <c r="P12" i="78"/>
  <c r="N20" i="80"/>
  <c r="P4" i="80"/>
  <c r="P4" i="81"/>
  <c r="N20" i="81"/>
  <c r="P6" i="47"/>
  <c r="F34" i="52"/>
  <c r="E31" i="68"/>
  <c r="E36" i="67"/>
  <c r="N22" i="76"/>
  <c r="P22" i="76"/>
  <c r="P9" i="50"/>
  <c r="P21" i="50"/>
  <c r="P32" i="50"/>
  <c r="M34" i="52"/>
  <c r="O33" i="52"/>
  <c r="P33" i="52"/>
  <c r="P6" i="65"/>
  <c r="I45" i="65"/>
  <c r="P6" i="66"/>
  <c r="F40" i="66"/>
  <c r="P13" i="73"/>
  <c r="N20" i="73"/>
  <c r="O20" i="73"/>
  <c r="P20" i="73"/>
  <c r="N26" i="69"/>
  <c r="P36" i="63"/>
  <c r="M49" i="63"/>
  <c r="P12" i="64"/>
  <c r="P20" i="65"/>
  <c r="P35" i="65"/>
  <c r="J45" i="65"/>
  <c r="J50" i="64"/>
  <c r="P18" i="69"/>
  <c r="P9" i="73"/>
  <c r="L21" i="75"/>
  <c r="P12" i="76"/>
  <c r="P19" i="82"/>
  <c r="N20" i="82"/>
  <c r="B21" i="80"/>
  <c r="O21" i="79"/>
  <c r="P11" i="50"/>
  <c r="C45" i="65"/>
  <c r="P14" i="66"/>
  <c r="M26" i="69"/>
  <c r="P9" i="76"/>
  <c r="H21" i="75"/>
  <c r="P9" i="77"/>
  <c r="O21" i="77"/>
  <c r="P4" i="78"/>
  <c r="G22" i="78"/>
  <c r="C22" i="79"/>
  <c r="O21" i="78"/>
  <c r="G21" i="81"/>
  <c r="G21" i="80"/>
  <c r="P11" i="82"/>
  <c r="P14" i="82"/>
  <c r="J18" i="92"/>
  <c r="J17" i="91"/>
  <c r="N17" i="16"/>
  <c r="N28" i="11"/>
  <c r="N19" i="11"/>
  <c r="O23" i="54"/>
  <c r="P23" i="54"/>
  <c r="O14" i="54"/>
  <c r="P14" i="54"/>
  <c r="G33" i="50"/>
  <c r="G34" i="50"/>
  <c r="O5" i="54"/>
  <c r="P5" i="54"/>
  <c r="M17" i="97"/>
  <c r="N101" i="58"/>
  <c r="P6" i="101"/>
  <c r="P14" i="101"/>
  <c r="E30" i="54"/>
  <c r="E33" i="54"/>
  <c r="F14" i="84"/>
  <c r="F16" i="84"/>
  <c r="O12" i="84"/>
  <c r="Q12" i="84"/>
  <c r="O20" i="80"/>
  <c r="C18" i="89"/>
  <c r="J18" i="88"/>
  <c r="M18" i="89"/>
  <c r="I18" i="91"/>
  <c r="I17" i="90"/>
  <c r="N28" i="16"/>
  <c r="N9" i="16"/>
  <c r="N20" i="11"/>
  <c r="N11" i="11"/>
  <c r="L102" i="58"/>
  <c r="O4" i="54"/>
  <c r="C33" i="50"/>
  <c r="C34" i="50"/>
  <c r="O15" i="54"/>
  <c r="P15" i="54"/>
  <c r="J33" i="50"/>
  <c r="J34" i="50"/>
  <c r="O6" i="54"/>
  <c r="E33" i="98"/>
  <c r="O101" i="58"/>
  <c r="M30" i="54"/>
  <c r="N14" i="84"/>
  <c r="N16" i="84"/>
  <c r="M33" i="54"/>
  <c r="M34" i="54"/>
  <c r="F28" i="54"/>
  <c r="N28" i="54"/>
  <c r="G14" i="84"/>
  <c r="G16" i="84"/>
  <c r="O11" i="84"/>
  <c r="Q11" i="84"/>
  <c r="G21" i="54"/>
  <c r="H14" i="84"/>
  <c r="H16" i="84"/>
  <c r="L17" i="84"/>
  <c r="C18" i="88"/>
  <c r="J18" i="91"/>
  <c r="N20" i="16"/>
  <c r="N30" i="11"/>
  <c r="N12" i="11"/>
  <c r="J17" i="84"/>
  <c r="J18" i="85"/>
  <c r="O25" i="54"/>
  <c r="P25" i="54"/>
  <c r="O7" i="54"/>
  <c r="E33" i="50"/>
  <c r="E34" i="50"/>
  <c r="P31" i="98"/>
  <c r="F33" i="54"/>
  <c r="N18" i="54"/>
  <c r="N9" i="54"/>
  <c r="N8" i="54"/>
  <c r="G33" i="54"/>
  <c r="G34" i="54"/>
  <c r="N7" i="54"/>
  <c r="N6" i="54"/>
  <c r="O5" i="96"/>
  <c r="B33" i="54"/>
  <c r="B34" i="54"/>
  <c r="P6" i="79"/>
  <c r="N18" i="94"/>
  <c r="M17" i="84"/>
  <c r="M18" i="84"/>
  <c r="M18" i="85"/>
  <c r="D18" i="86"/>
  <c r="N30" i="16"/>
  <c r="N12" i="16"/>
  <c r="N22" i="11"/>
  <c r="O17" i="54"/>
  <c r="H33" i="50"/>
  <c r="H34" i="50"/>
  <c r="O8" i="54"/>
  <c r="P8" i="98"/>
  <c r="P16" i="98"/>
  <c r="P24" i="98"/>
  <c r="E17" i="97"/>
  <c r="E18" i="97"/>
  <c r="E18" i="84"/>
  <c r="N33" i="56"/>
  <c r="H32" i="54"/>
  <c r="H33" i="54"/>
  <c r="H34" i="54"/>
  <c r="I14" i="84"/>
  <c r="I16" i="84"/>
  <c r="I18" i="90"/>
  <c r="D18" i="91"/>
  <c r="D17" i="90"/>
  <c r="D18" i="90"/>
  <c r="N31" i="16"/>
  <c r="N22" i="16"/>
  <c r="N4" i="11"/>
  <c r="N14" i="11"/>
  <c r="O28" i="54"/>
  <c r="O9" i="54"/>
  <c r="O33" i="56"/>
  <c r="I30" i="54"/>
  <c r="K30" i="54"/>
  <c r="N30" i="54"/>
  <c r="J14" i="84"/>
  <c r="J16" i="84"/>
  <c r="J24" i="54"/>
  <c r="N24" i="54"/>
  <c r="O22" i="96"/>
  <c r="N22" i="54"/>
  <c r="O17" i="96"/>
  <c r="N17" i="54"/>
  <c r="N16" i="54"/>
  <c r="N12" i="54"/>
  <c r="O11" i="96"/>
  <c r="N11" i="54"/>
  <c r="N21" i="78"/>
  <c r="D18" i="87"/>
  <c r="L18" i="86"/>
  <c r="L17" i="85"/>
  <c r="L18" i="85"/>
  <c r="F18" i="88"/>
  <c r="F17" i="87"/>
  <c r="H18" i="89"/>
  <c r="H17" i="88"/>
  <c r="H18" i="88"/>
  <c r="N18" i="93"/>
  <c r="K18" i="94"/>
  <c r="N23" i="16"/>
  <c r="N14" i="16"/>
  <c r="N25" i="11"/>
  <c r="N6" i="11"/>
  <c r="O20" i="54"/>
  <c r="P20" i="54"/>
  <c r="O11" i="54"/>
  <c r="I33" i="50"/>
  <c r="I34" i="50"/>
  <c r="F33" i="50"/>
  <c r="F34" i="50"/>
  <c r="K33" i="54"/>
  <c r="K34" i="54"/>
  <c r="L14" i="84"/>
  <c r="L16" i="84"/>
  <c r="J33" i="54"/>
  <c r="J34" i="54"/>
  <c r="K14" i="84"/>
  <c r="K16" i="84"/>
  <c r="O9" i="84"/>
  <c r="Q9" i="84"/>
  <c r="F18" i="87"/>
  <c r="N4" i="16"/>
  <c r="N15" i="16"/>
  <c r="N6" i="16"/>
  <c r="N17" i="11"/>
  <c r="O30" i="54"/>
  <c r="O12" i="54"/>
  <c r="D33" i="50"/>
  <c r="D34" i="50"/>
  <c r="N4" i="54"/>
  <c r="N27" i="54"/>
  <c r="P8" i="97"/>
  <c r="C21" i="54"/>
  <c r="N21" i="54"/>
  <c r="D14" i="84"/>
  <c r="N25" i="16"/>
  <c r="N7" i="16"/>
  <c r="N27" i="11"/>
  <c r="N9" i="11"/>
  <c r="O31" i="54"/>
  <c r="P31" i="54"/>
  <c r="O22" i="54"/>
  <c r="C18" i="84"/>
  <c r="P41" i="99"/>
  <c r="L33" i="54"/>
  <c r="L34" i="54"/>
  <c r="P10" i="99"/>
  <c r="P94" i="99"/>
  <c r="P85" i="99"/>
  <c r="P74" i="99"/>
  <c r="P37" i="99"/>
  <c r="P23" i="99"/>
  <c r="P9" i="99"/>
  <c r="C18" i="97"/>
  <c r="D32" i="54"/>
  <c r="N32" i="54"/>
  <c r="O13" i="84"/>
  <c r="Q13" i="84"/>
  <c r="P9" i="98"/>
  <c r="P18" i="98"/>
  <c r="P25" i="98"/>
  <c r="P44" i="99"/>
  <c r="P31" i="99"/>
  <c r="P6" i="99"/>
  <c r="P92" i="99"/>
  <c r="P84" i="99"/>
  <c r="P22" i="99"/>
  <c r="O12" i="97"/>
  <c r="O102" i="99"/>
  <c r="O21" i="96"/>
  <c r="O16" i="96"/>
  <c r="P10" i="98"/>
  <c r="P19" i="98"/>
  <c r="P26" i="98"/>
  <c r="P45" i="99"/>
  <c r="P29" i="99"/>
  <c r="P71" i="99"/>
  <c r="P21" i="99"/>
  <c r="O4" i="96"/>
  <c r="P13" i="97"/>
  <c r="Q13" i="97"/>
  <c r="O20" i="96"/>
  <c r="O15" i="96"/>
  <c r="B22" i="71"/>
  <c r="P4" i="98"/>
  <c r="P11" i="98"/>
  <c r="P20" i="98"/>
  <c r="P27" i="98"/>
  <c r="P63" i="99"/>
  <c r="P93" i="99"/>
  <c r="P9" i="101"/>
  <c r="P17" i="101"/>
  <c r="M103" i="99"/>
  <c r="P79" i="99"/>
  <c r="P20" i="99"/>
  <c r="P5" i="99"/>
  <c r="O32" i="96"/>
  <c r="P10" i="97"/>
  <c r="O19" i="96"/>
  <c r="O14" i="96"/>
  <c r="O10" i="96"/>
  <c r="P4" i="97"/>
  <c r="G22" i="101"/>
  <c r="P12" i="98"/>
  <c r="P21" i="98"/>
  <c r="P28" i="98"/>
  <c r="P47" i="99"/>
  <c r="P95" i="99"/>
  <c r="P10" i="101"/>
  <c r="P18" i="101"/>
  <c r="L103" i="99"/>
  <c r="N101" i="99"/>
  <c r="P25" i="99"/>
  <c r="P89" i="99"/>
  <c r="P68" i="99"/>
  <c r="P55" i="99"/>
  <c r="P30" i="99"/>
  <c r="P19" i="99"/>
  <c r="O31" i="96"/>
  <c r="P12" i="97"/>
  <c r="O27" i="96"/>
  <c r="P5" i="97"/>
  <c r="O9" i="96"/>
  <c r="P7" i="101"/>
  <c r="P5" i="98"/>
  <c r="P13" i="98"/>
  <c r="P22" i="98"/>
  <c r="P29" i="98"/>
  <c r="P36" i="99"/>
  <c r="P11" i="101"/>
  <c r="P19" i="101"/>
  <c r="M33" i="98"/>
  <c r="P17" i="99"/>
  <c r="P77" i="99"/>
  <c r="P65" i="99"/>
  <c r="P28" i="99"/>
  <c r="O30" i="96"/>
  <c r="O26" i="96"/>
  <c r="P9" i="97"/>
  <c r="O8" i="96"/>
  <c r="L22" i="101"/>
  <c r="P6" i="98"/>
  <c r="P14" i="98"/>
  <c r="P30" i="98"/>
  <c r="P69" i="99"/>
  <c r="P4" i="101"/>
  <c r="P12" i="101"/>
  <c r="P20" i="101"/>
  <c r="P97" i="99"/>
  <c r="P87" i="99"/>
  <c r="P76" i="99"/>
  <c r="P53" i="99"/>
  <c r="P12" i="99"/>
  <c r="O29" i="96"/>
  <c r="P11" i="97"/>
  <c r="Q11" i="97"/>
  <c r="O25" i="96"/>
  <c r="O24" i="96"/>
  <c r="P7" i="97"/>
  <c r="O13" i="96"/>
  <c r="O7" i="96"/>
  <c r="Q10" i="97"/>
  <c r="P7" i="98"/>
  <c r="N32" i="98"/>
  <c r="Q7" i="98"/>
  <c r="P15" i="98"/>
  <c r="Q23" i="98"/>
  <c r="P59" i="99"/>
  <c r="P5" i="101"/>
  <c r="P13" i="101"/>
  <c r="L33" i="98"/>
  <c r="P11" i="99"/>
  <c r="O28" i="96"/>
  <c r="O23" i="96"/>
  <c r="O18" i="96"/>
  <c r="P6" i="97"/>
  <c r="O12" i="96"/>
  <c r="O6" i="96"/>
  <c r="O9" i="97"/>
  <c r="O8" i="97"/>
  <c r="O5" i="97"/>
  <c r="M18" i="97"/>
  <c r="O6" i="97"/>
  <c r="O7" i="97"/>
  <c r="O4" i="97"/>
  <c r="Q25" i="98"/>
  <c r="P73" i="99"/>
  <c r="P33" i="99"/>
  <c r="P51" i="99"/>
  <c r="P75" i="99"/>
  <c r="P83" i="99"/>
  <c r="P91" i="99"/>
  <c r="P27" i="99"/>
  <c r="P67" i="99"/>
  <c r="P43" i="99"/>
  <c r="P15" i="99"/>
  <c r="P90" i="99"/>
  <c r="N12" i="100"/>
  <c r="P66" i="99"/>
  <c r="N99" i="99"/>
  <c r="P98" i="99"/>
  <c r="P42" i="99"/>
  <c r="P88" i="99"/>
  <c r="P56" i="99"/>
  <c r="P48" i="99"/>
  <c r="P32" i="99"/>
  <c r="P24" i="99"/>
  <c r="P16" i="99"/>
  <c r="P8" i="99"/>
  <c r="K33" i="100"/>
  <c r="K34" i="100"/>
  <c r="P81" i="99"/>
  <c r="P57" i="99"/>
  <c r="P34" i="99"/>
  <c r="N100" i="99"/>
  <c r="N8" i="100"/>
  <c r="E34" i="100"/>
  <c r="P82" i="99"/>
  <c r="P18" i="99"/>
  <c r="N28" i="100"/>
  <c r="P80" i="99"/>
  <c r="P64" i="99"/>
  <c r="P40" i="99"/>
  <c r="P26" i="99"/>
  <c r="N22" i="100"/>
  <c r="P86" i="99"/>
  <c r="P78" i="99"/>
  <c r="P70" i="99"/>
  <c r="P62" i="99"/>
  <c r="P54" i="99"/>
  <c r="P46" i="99"/>
  <c r="P38" i="99"/>
  <c r="P13" i="99"/>
  <c r="N20" i="100"/>
  <c r="N13" i="100"/>
  <c r="N16" i="100"/>
  <c r="N32" i="100"/>
  <c r="N21" i="100"/>
  <c r="P72" i="99"/>
  <c r="P58" i="99"/>
  <c r="P50" i="99"/>
  <c r="N14" i="100"/>
  <c r="N26" i="96"/>
  <c r="P26" i="96"/>
  <c r="N14" i="96"/>
  <c r="P14" i="96"/>
  <c r="N29" i="96"/>
  <c r="P29" i="96"/>
  <c r="N22" i="96"/>
  <c r="P22" i="96"/>
  <c r="N18" i="96"/>
  <c r="P18" i="96"/>
  <c r="N8" i="96"/>
  <c r="P8" i="96"/>
  <c r="N19" i="96"/>
  <c r="P19" i="96"/>
  <c r="N17" i="96"/>
  <c r="P17" i="96"/>
  <c r="N15" i="96"/>
  <c r="P15" i="96"/>
  <c r="N25" i="96"/>
  <c r="P25" i="96"/>
  <c r="N23" i="96"/>
  <c r="P23" i="96"/>
  <c r="G34" i="96"/>
  <c r="N31" i="96"/>
  <c r="P31" i="96"/>
  <c r="B34" i="96"/>
  <c r="N28" i="96"/>
  <c r="P28" i="96"/>
  <c r="F34" i="96"/>
  <c r="N27" i="96"/>
  <c r="P27" i="96"/>
  <c r="N20" i="96"/>
  <c r="P20" i="96"/>
  <c r="N16" i="96"/>
  <c r="P16" i="96"/>
  <c r="N12" i="96"/>
  <c r="P12" i="96"/>
  <c r="G34" i="100"/>
  <c r="M34" i="100"/>
  <c r="N27" i="100"/>
  <c r="N19" i="100"/>
  <c r="N11" i="100"/>
  <c r="N6" i="96"/>
  <c r="P6" i="96"/>
  <c r="N5" i="96"/>
  <c r="P5" i="96"/>
  <c r="C34" i="100"/>
  <c r="F34" i="100"/>
  <c r="N26" i="100"/>
  <c r="N18" i="100"/>
  <c r="N10" i="100"/>
  <c r="N7" i="96"/>
  <c r="P7" i="96"/>
  <c r="H34" i="100"/>
  <c r="N25" i="100"/>
  <c r="N17" i="100"/>
  <c r="D34" i="100"/>
  <c r="N24" i="100"/>
  <c r="N7" i="100"/>
  <c r="N11" i="96"/>
  <c r="P11" i="96"/>
  <c r="N10" i="96"/>
  <c r="P10" i="96"/>
  <c r="J34" i="100"/>
  <c r="B34" i="100"/>
  <c r="N31" i="100"/>
  <c r="N23" i="100"/>
  <c r="N15" i="100"/>
  <c r="N6" i="100"/>
  <c r="I34" i="100"/>
  <c r="P4" i="99"/>
  <c r="N30" i="100"/>
  <c r="N5" i="100"/>
  <c r="N21" i="96"/>
  <c r="P21" i="96"/>
  <c r="N13" i="96"/>
  <c r="P13" i="96"/>
  <c r="N29" i="100"/>
  <c r="N4" i="100"/>
  <c r="N4" i="96"/>
  <c r="N9" i="100"/>
  <c r="N102" i="99"/>
  <c r="Q80" i="99"/>
  <c r="L33" i="100"/>
  <c r="L34" i="100"/>
  <c r="P8" i="101"/>
  <c r="P15" i="101"/>
  <c r="N21" i="101"/>
  <c r="P32" i="54"/>
  <c r="Q9" i="46"/>
  <c r="Q7" i="46"/>
  <c r="Q21" i="46"/>
  <c r="Q33" i="46"/>
  <c r="Q17" i="46"/>
  <c r="Q29" i="46"/>
  <c r="Q31" i="46"/>
  <c r="Q11" i="46"/>
  <c r="Q25" i="46"/>
  <c r="Q27" i="46"/>
  <c r="Q10" i="46"/>
  <c r="Q23" i="46"/>
  <c r="Q12" i="46"/>
  <c r="Q6" i="46"/>
  <c r="Q18" i="46"/>
  <c r="Q13" i="46"/>
  <c r="Q8" i="46"/>
  <c r="Q14" i="46"/>
  <c r="Q20" i="46"/>
  <c r="Q26" i="46"/>
  <c r="Q16" i="46"/>
  <c r="Q28" i="46"/>
  <c r="Q15" i="46"/>
  <c r="Q24" i="46"/>
  <c r="Q30" i="46"/>
  <c r="Q5" i="46"/>
  <c r="Q32" i="46"/>
  <c r="Q4" i="46"/>
  <c r="Q19" i="46"/>
  <c r="P28" i="54"/>
  <c r="N33" i="54"/>
  <c r="Q28" i="54"/>
  <c r="Q30" i="54"/>
  <c r="P30" i="54"/>
  <c r="P21" i="101"/>
  <c r="Q21" i="101"/>
  <c r="P29" i="100"/>
  <c r="P6" i="100"/>
  <c r="P7" i="100"/>
  <c r="P10" i="100"/>
  <c r="P19" i="100"/>
  <c r="P21" i="100"/>
  <c r="Q61" i="99"/>
  <c r="Q5" i="101"/>
  <c r="Q76" i="99"/>
  <c r="Q54" i="99"/>
  <c r="Q19" i="99"/>
  <c r="Q18" i="101"/>
  <c r="P14" i="97"/>
  <c r="Q27" i="99"/>
  <c r="Q63" i="99"/>
  <c r="O33" i="96"/>
  <c r="Q7" i="99"/>
  <c r="Q81" i="99"/>
  <c r="Q45" i="99"/>
  <c r="Q15" i="99"/>
  <c r="Q44" i="99"/>
  <c r="Q60" i="99"/>
  <c r="Q27" i="54"/>
  <c r="P27" i="54"/>
  <c r="P17" i="11"/>
  <c r="P25" i="11"/>
  <c r="P16" i="54"/>
  <c r="Q16" i="54"/>
  <c r="J17" i="97"/>
  <c r="J18" i="97"/>
  <c r="J18" i="84"/>
  <c r="P31" i="16"/>
  <c r="P7" i="54"/>
  <c r="Q31" i="98"/>
  <c r="P20" i="16"/>
  <c r="G18" i="84"/>
  <c r="G17" i="97"/>
  <c r="G18" i="97"/>
  <c r="P28" i="16"/>
  <c r="F17" i="97"/>
  <c r="F18" i="97"/>
  <c r="F18" i="84"/>
  <c r="O104" i="58"/>
  <c r="P101" i="58"/>
  <c r="P28" i="11"/>
  <c r="N21" i="80"/>
  <c r="P20" i="80"/>
  <c r="P15" i="100"/>
  <c r="P24" i="100"/>
  <c r="P18" i="100"/>
  <c r="P27" i="100"/>
  <c r="P32" i="100"/>
  <c r="Q7" i="97"/>
  <c r="Q75" i="99"/>
  <c r="Q12" i="99"/>
  <c r="Q12" i="101"/>
  <c r="Q14" i="98"/>
  <c r="Q65" i="99"/>
  <c r="Q29" i="98"/>
  <c r="Q78" i="99"/>
  <c r="Q28" i="98"/>
  <c r="Q32" i="99"/>
  <c r="Q4" i="98"/>
  <c r="Q21" i="99"/>
  <c r="Q91" i="99"/>
  <c r="Q35" i="99"/>
  <c r="Q6" i="99"/>
  <c r="Q9" i="99"/>
  <c r="Q74" i="99"/>
  <c r="Q33" i="99"/>
  <c r="P9" i="11"/>
  <c r="Q32" i="54"/>
  <c r="Q4" i="54"/>
  <c r="P4" i="54"/>
  <c r="P6" i="16"/>
  <c r="L18" i="84"/>
  <c r="L17" i="97"/>
  <c r="L18" i="97"/>
  <c r="P14" i="16"/>
  <c r="C33" i="54"/>
  <c r="C34" i="54"/>
  <c r="Q24" i="98"/>
  <c r="E34" i="54"/>
  <c r="P17" i="16"/>
  <c r="Q33" i="50"/>
  <c r="P5" i="45"/>
  <c r="N33" i="45"/>
  <c r="Q5" i="45"/>
  <c r="B34" i="50"/>
  <c r="B34" i="46"/>
  <c r="P26" i="100"/>
  <c r="P16" i="100"/>
  <c r="P28" i="100"/>
  <c r="Q6" i="97"/>
  <c r="Q86" i="99"/>
  <c r="Q73" i="99"/>
  <c r="Q87" i="99"/>
  <c r="Q19" i="101"/>
  <c r="Q30" i="99"/>
  <c r="Q89" i="99"/>
  <c r="Q10" i="101"/>
  <c r="Q48" i="99"/>
  <c r="Q17" i="101"/>
  <c r="Q46" i="99"/>
  <c r="Q4" i="99"/>
  <c r="Q26" i="98"/>
  <c r="Q50" i="99"/>
  <c r="P27" i="11"/>
  <c r="D33" i="54"/>
  <c r="D34" i="54"/>
  <c r="P15" i="16"/>
  <c r="N33" i="16"/>
  <c r="Q15" i="16"/>
  <c r="P23" i="16"/>
  <c r="P17" i="54"/>
  <c r="Q17" i="54"/>
  <c r="P22" i="11"/>
  <c r="P8" i="54"/>
  <c r="Q8" i="54"/>
  <c r="P23" i="100"/>
  <c r="P31" i="100"/>
  <c r="P17" i="100"/>
  <c r="P13" i="100"/>
  <c r="P32" i="98"/>
  <c r="Q32" i="98"/>
  <c r="Q11" i="99"/>
  <c r="Q96" i="99"/>
  <c r="Q59" i="99"/>
  <c r="Q26" i="99"/>
  <c r="Q4" i="101"/>
  <c r="Q6" i="98"/>
  <c r="Q77" i="99"/>
  <c r="Q22" i="98"/>
  <c r="Q21" i="98"/>
  <c r="Q56" i="99"/>
  <c r="Q27" i="98"/>
  <c r="Q34" i="99"/>
  <c r="Q29" i="99"/>
  <c r="Q58" i="99"/>
  <c r="Q31" i="99"/>
  <c r="P7" i="16"/>
  <c r="Q7" i="16"/>
  <c r="Q4" i="16"/>
  <c r="Q6" i="16"/>
  <c r="P4" i="16"/>
  <c r="Q16" i="98"/>
  <c r="P12" i="16"/>
  <c r="Q9" i="54"/>
  <c r="P9" i="54"/>
  <c r="N18" i="84"/>
  <c r="N17" i="97"/>
  <c r="N18" i="97"/>
  <c r="O33" i="54"/>
  <c r="Q17" i="41"/>
  <c r="Q6" i="41"/>
  <c r="P33" i="41"/>
  <c r="Q14" i="41"/>
  <c r="Q20" i="41"/>
  <c r="Q33" i="41"/>
  <c r="Q24" i="41"/>
  <c r="Q16" i="41"/>
  <c r="Q25" i="41"/>
  <c r="Q5" i="41"/>
  <c r="Q27" i="41"/>
  <c r="Q13" i="41"/>
  <c r="Q32" i="41"/>
  <c r="Q12" i="41"/>
  <c r="Q19" i="41"/>
  <c r="Q29" i="41"/>
  <c r="Q22" i="41"/>
  <c r="Q21" i="41"/>
  <c r="Q11" i="41"/>
  <c r="Q7" i="41"/>
  <c r="Q30" i="41"/>
  <c r="Q8" i="41"/>
  <c r="Q23" i="41"/>
  <c r="Q9" i="41"/>
  <c r="Q15" i="41"/>
  <c r="Q4" i="41"/>
  <c r="Q28" i="41"/>
  <c r="Q31" i="41"/>
  <c r="P102" i="99"/>
  <c r="Q102" i="99"/>
  <c r="Q14" i="99"/>
  <c r="P5" i="100"/>
  <c r="P25" i="100"/>
  <c r="P14" i="100"/>
  <c r="P20" i="100"/>
  <c r="N30" i="96"/>
  <c r="P30" i="96"/>
  <c r="Q13" i="99"/>
  <c r="Q40" i="99"/>
  <c r="Q97" i="99"/>
  <c r="Q18" i="99"/>
  <c r="Q11" i="101"/>
  <c r="Q43" i="99"/>
  <c r="Q17" i="98"/>
  <c r="Q95" i="99"/>
  <c r="Q70" i="99"/>
  <c r="Q9" i="101"/>
  <c r="Q82" i="99"/>
  <c r="Q49" i="99"/>
  <c r="Q19" i="98"/>
  <c r="Q12" i="97"/>
  <c r="Q72" i="99"/>
  <c r="Q18" i="98"/>
  <c r="Q23" i="99"/>
  <c r="Q85" i="99"/>
  <c r="Q41" i="99"/>
  <c r="Q25" i="16"/>
  <c r="P25" i="16"/>
  <c r="P21" i="78"/>
  <c r="N22" i="78"/>
  <c r="P22" i="54"/>
  <c r="Q22" i="54"/>
  <c r="I17" i="97"/>
  <c r="I18" i="97"/>
  <c r="I18" i="84"/>
  <c r="P30" i="16"/>
  <c r="Q30" i="16"/>
  <c r="Q18" i="54"/>
  <c r="P18" i="54"/>
  <c r="Q14" i="101"/>
  <c r="P14" i="46"/>
  <c r="O33" i="46"/>
  <c r="P33" i="46"/>
  <c r="Q10" i="41"/>
  <c r="J34" i="96"/>
  <c r="P22" i="100"/>
  <c r="P99" i="99"/>
  <c r="Q99" i="99"/>
  <c r="Q24" i="99"/>
  <c r="Q38" i="99"/>
  <c r="Q53" i="99"/>
  <c r="Q69" i="99"/>
  <c r="Q28" i="99"/>
  <c r="Q88" i="99"/>
  <c r="Q13" i="98"/>
  <c r="Q55" i="99"/>
  <c r="Q25" i="99"/>
  <c r="Q12" i="98"/>
  <c r="Q5" i="99"/>
  <c r="Q79" i="99"/>
  <c r="Q20" i="98"/>
  <c r="Q57" i="99"/>
  <c r="Q16" i="101"/>
  <c r="Q84" i="99"/>
  <c r="Q15" i="101"/>
  <c r="O14" i="84"/>
  <c r="Q14" i="84"/>
  <c r="D16" i="84"/>
  <c r="Q11" i="54"/>
  <c r="P11" i="54"/>
  <c r="P14" i="11"/>
  <c r="Q8" i="98"/>
  <c r="I33" i="54"/>
  <c r="I34" i="54"/>
  <c r="F34" i="54"/>
  <c r="H17" i="97"/>
  <c r="H18" i="97"/>
  <c r="H18" i="84"/>
  <c r="P11" i="11"/>
  <c r="N21" i="81"/>
  <c r="P20" i="81"/>
  <c r="P21" i="77"/>
  <c r="P30" i="100"/>
  <c r="P8" i="100"/>
  <c r="Q5" i="97"/>
  <c r="Q39" i="99"/>
  <c r="Q13" i="101"/>
  <c r="Q16" i="99"/>
  <c r="Q98" i="99"/>
  <c r="Q67" i="99"/>
  <c r="Q66" i="99"/>
  <c r="Q93" i="99"/>
  <c r="Q71" i="99"/>
  <c r="Q8" i="101"/>
  <c r="Q10" i="98"/>
  <c r="Q8" i="99"/>
  <c r="Q7" i="101"/>
  <c r="Q9" i="98"/>
  <c r="Q37" i="99"/>
  <c r="Q94" i="99"/>
  <c r="Q21" i="54"/>
  <c r="P21" i="54"/>
  <c r="K17" i="97"/>
  <c r="K18" i="97"/>
  <c r="K18" i="84"/>
  <c r="P24" i="54"/>
  <c r="Q24" i="54"/>
  <c r="P4" i="11"/>
  <c r="N33" i="11"/>
  <c r="O35" i="56"/>
  <c r="P33" i="56"/>
  <c r="Q6" i="54"/>
  <c r="P6" i="54"/>
  <c r="P12" i="11"/>
  <c r="Q12" i="11"/>
  <c r="P20" i="11"/>
  <c r="Q6" i="101"/>
  <c r="P22" i="46"/>
  <c r="Q22" i="46"/>
  <c r="P16" i="36"/>
  <c r="N33" i="36"/>
  <c r="P4" i="100"/>
  <c r="P11" i="100"/>
  <c r="P100" i="99"/>
  <c r="Q100" i="99"/>
  <c r="P12" i="100"/>
  <c r="Q8" i="97"/>
  <c r="Q9" i="97"/>
  <c r="O14" i="97"/>
  <c r="R9" i="97"/>
  <c r="Q52" i="99"/>
  <c r="Q15" i="98"/>
  <c r="Q64" i="99"/>
  <c r="Q20" i="101"/>
  <c r="Q30" i="98"/>
  <c r="Q42" i="99"/>
  <c r="Q17" i="99"/>
  <c r="Q36" i="99"/>
  <c r="Q5" i="98"/>
  <c r="Q68" i="99"/>
  <c r="P101" i="99"/>
  <c r="Q101" i="99"/>
  <c r="Q47" i="99"/>
  <c r="Q20" i="99"/>
  <c r="Q90" i="99"/>
  <c r="Q11" i="98"/>
  <c r="Q62" i="99"/>
  <c r="Q22" i="99"/>
  <c r="Q92" i="99"/>
  <c r="Q83" i="99"/>
  <c r="Q51" i="99"/>
  <c r="Q10" i="99"/>
  <c r="P6" i="11"/>
  <c r="Q6" i="11"/>
  <c r="Q12" i="54"/>
  <c r="P12" i="54"/>
  <c r="P22" i="16"/>
  <c r="Q22" i="16"/>
  <c r="P30" i="11"/>
  <c r="Q30" i="11"/>
  <c r="Q9" i="16"/>
  <c r="P9" i="16"/>
  <c r="P19" i="11"/>
  <c r="Q19" i="11"/>
  <c r="N22" i="79"/>
  <c r="P21" i="79"/>
  <c r="Q18" i="41"/>
  <c r="M33" i="96"/>
  <c r="M34" i="96"/>
  <c r="K33" i="96"/>
  <c r="K34" i="96"/>
  <c r="N24" i="96"/>
  <c r="P24" i="96"/>
  <c r="N32" i="96"/>
  <c r="P32" i="96"/>
  <c r="L33" i="96"/>
  <c r="L34" i="96"/>
  <c r="R5" i="97"/>
  <c r="Q4" i="97"/>
  <c r="E34" i="96"/>
  <c r="N9" i="96"/>
  <c r="P9" i="96"/>
  <c r="H34" i="96"/>
  <c r="N33" i="100"/>
  <c r="Q6" i="100"/>
  <c r="P9" i="100"/>
  <c r="P4" i="96"/>
  <c r="Q11" i="100"/>
  <c r="Q9" i="100"/>
  <c r="P33" i="11"/>
  <c r="Q5" i="11"/>
  <c r="Q24" i="11"/>
  <c r="Q31" i="11"/>
  <c r="Q18" i="11"/>
  <c r="Q32" i="11"/>
  <c r="Q8" i="11"/>
  <c r="Q13" i="11"/>
  <c r="Q33" i="11"/>
  <c r="Q29" i="11"/>
  <c r="Q21" i="11"/>
  <c r="Q26" i="11"/>
  <c r="Q16" i="11"/>
  <c r="N34" i="17"/>
  <c r="Q23" i="11"/>
  <c r="Q15" i="11"/>
  <c r="Q7" i="11"/>
  <c r="N34" i="11"/>
  <c r="Q10" i="11"/>
  <c r="Q11" i="11"/>
  <c r="Q25" i="100"/>
  <c r="Q12" i="16"/>
  <c r="Q23" i="100"/>
  <c r="Q23" i="16"/>
  <c r="Q16" i="100"/>
  <c r="Q9" i="11"/>
  <c r="D34" i="96"/>
  <c r="Q7" i="54"/>
  <c r="Q25" i="11"/>
  <c r="Q19" i="100"/>
  <c r="Q29" i="100"/>
  <c r="Q13" i="100"/>
  <c r="Q12" i="100"/>
  <c r="Q14" i="97"/>
  <c r="R14" i="97"/>
  <c r="R13" i="97"/>
  <c r="R11" i="97"/>
  <c r="R10" i="97"/>
  <c r="Q22" i="100"/>
  <c r="Q5" i="100"/>
  <c r="Q26" i="100"/>
  <c r="Q17" i="16"/>
  <c r="Q28" i="16"/>
  <c r="Q31" i="16"/>
  <c r="Q17" i="11"/>
  <c r="Q10" i="100"/>
  <c r="Q22" i="36"/>
  <c r="Q33" i="36"/>
  <c r="Q18" i="36"/>
  <c r="Q12" i="36"/>
  <c r="Q21" i="36"/>
  <c r="Q7" i="36"/>
  <c r="Q10" i="36"/>
  <c r="Q8" i="36"/>
  <c r="Q13" i="36"/>
  <c r="Q6" i="36"/>
  <c r="Q24" i="36"/>
  <c r="Q26" i="36"/>
  <c r="Q23" i="36"/>
  <c r="Q15" i="36"/>
  <c r="Q29" i="36"/>
  <c r="Q32" i="36"/>
  <c r="Q28" i="36"/>
  <c r="Q31" i="36"/>
  <c r="Q30" i="36"/>
  <c r="Q19" i="36"/>
  <c r="Q14" i="36"/>
  <c r="Q9" i="36"/>
  <c r="Q20" i="36"/>
  <c r="Q27" i="36"/>
  <c r="P33" i="36"/>
  <c r="Q11" i="36"/>
  <c r="Q17" i="36"/>
  <c r="Q5" i="36"/>
  <c r="Q4" i="36"/>
  <c r="Q25" i="36"/>
  <c r="Q16" i="36"/>
  <c r="Q30" i="100"/>
  <c r="D17" i="97"/>
  <c r="D18" i="97"/>
  <c r="D18" i="84"/>
  <c r="R12" i="97"/>
  <c r="Q20" i="100"/>
  <c r="I34" i="96"/>
  <c r="Q18" i="100"/>
  <c r="Q8" i="100"/>
  <c r="Q27" i="100"/>
  <c r="N34" i="16"/>
  <c r="Q27" i="16"/>
  <c r="Q11" i="16"/>
  <c r="Q21" i="16"/>
  <c r="Q18" i="16"/>
  <c r="Q10" i="16"/>
  <c r="Q19" i="16"/>
  <c r="Q13" i="16"/>
  <c r="Q29" i="16"/>
  <c r="Q8" i="16"/>
  <c r="Q32" i="16"/>
  <c r="Q24" i="16"/>
  <c r="Q5" i="16"/>
  <c r="Q26" i="16"/>
  <c r="Q33" i="16"/>
  <c r="Q16" i="16"/>
  <c r="P33" i="16"/>
  <c r="Q17" i="100"/>
  <c r="Q22" i="11"/>
  <c r="R6" i="97"/>
  <c r="R7" i="97"/>
  <c r="Q28" i="11"/>
  <c r="Q7" i="100"/>
  <c r="Q24" i="100"/>
  <c r="Q31" i="100"/>
  <c r="Q27" i="11"/>
  <c r="Q28" i="100"/>
  <c r="Q32" i="100"/>
  <c r="Q20" i="16"/>
  <c r="Q21" i="100"/>
  <c r="P33" i="100"/>
  <c r="Q33" i="100"/>
  <c r="Q14" i="100"/>
  <c r="R8" i="97"/>
  <c r="Q4" i="100"/>
  <c r="Q20" i="11"/>
  <c r="Q4" i="11"/>
  <c r="Q14" i="11"/>
  <c r="R4" i="97"/>
  <c r="C34" i="96"/>
  <c r="Q30" i="45"/>
  <c r="Q9" i="45"/>
  <c r="Q14" i="45"/>
  <c r="Q27" i="45"/>
  <c r="Q21" i="45"/>
  <c r="Q4" i="45"/>
  <c r="Q33" i="45"/>
  <c r="Q11" i="45"/>
  <c r="Q7" i="45"/>
  <c r="Q29" i="45"/>
  <c r="Q13" i="45"/>
  <c r="Q24" i="45"/>
  <c r="Q22" i="45"/>
  <c r="Q20" i="45"/>
  <c r="Q16" i="45"/>
  <c r="Q19" i="45"/>
  <c r="Q28" i="45"/>
  <c r="P33" i="45"/>
  <c r="Q6" i="45"/>
  <c r="Q23" i="45"/>
  <c r="Q32" i="45"/>
  <c r="Q10" i="45"/>
  <c r="Q26" i="45"/>
  <c r="Q25" i="45"/>
  <c r="Q17" i="45"/>
  <c r="Q12" i="45"/>
  <c r="Q15" i="45"/>
  <c r="Q18" i="45"/>
  <c r="Q31" i="45"/>
  <c r="Q8" i="45"/>
  <c r="Q14" i="16"/>
  <c r="Q26" i="54"/>
  <c r="Q19" i="54"/>
  <c r="Q23" i="54"/>
  <c r="Q31" i="54"/>
  <c r="Q13" i="54"/>
  <c r="P33" i="54"/>
  <c r="Q20" i="54"/>
  <c r="Q25" i="54"/>
  <c r="Q15" i="54"/>
  <c r="Q10" i="54"/>
  <c r="Q29" i="54"/>
  <c r="Q14" i="54"/>
  <c r="Q5" i="54"/>
  <c r="Q33" i="54"/>
  <c r="Q15" i="100"/>
  <c r="N33" i="96"/>
  <c r="Q19" i="96"/>
  <c r="Q4" i="96"/>
  <c r="P33" i="96"/>
  <c r="Q7" i="96"/>
  <c r="Q20" i="96"/>
  <c r="Q22" i="96"/>
  <c r="Q18" i="96"/>
  <c r="Q11" i="96"/>
  <c r="Q6" i="96"/>
  <c r="Q13" i="96"/>
  <c r="Q24" i="96"/>
  <c r="Q29" i="96"/>
  <c r="Q25" i="96"/>
  <c r="Q9" i="96"/>
  <c r="Q27" i="96"/>
  <c r="Q23" i="96"/>
  <c r="Q31" i="96"/>
  <c r="Q30" i="96"/>
  <c r="Q14" i="96"/>
  <c r="Q16" i="96"/>
  <c r="Q12" i="96"/>
  <c r="Q32" i="96"/>
  <c r="Q17" i="96"/>
  <c r="Q10" i="96"/>
  <c r="Q21" i="96"/>
  <c r="Q8" i="96"/>
  <c r="Q26" i="96"/>
  <c r="Q5" i="96"/>
  <c r="Q15" i="96"/>
  <c r="Q28" i="96"/>
  <c r="Q33" i="96"/>
  <c r="Q23" i="110"/>
  <c r="Q19" i="110"/>
  <c r="Q21" i="110"/>
  <c r="Q25" i="110"/>
  <c r="Q14" i="110"/>
  <c r="Q20" i="110"/>
  <c r="Q24" i="110"/>
  <c r="Q28" i="110"/>
  <c r="Q12" i="110"/>
  <c r="Q5" i="110"/>
  <c r="Q29" i="110"/>
  <c r="Q26" i="110"/>
  <c r="Q11" i="110"/>
  <c r="Q8" i="110"/>
  <c r="Q10" i="110"/>
  <c r="P33" i="110"/>
  <c r="Q32" i="110"/>
  <c r="Q30" i="110"/>
  <c r="Q16" i="110"/>
  <c r="Q15" i="110"/>
  <c r="Q17" i="110"/>
  <c r="Q7" i="110"/>
  <c r="Q27" i="110"/>
  <c r="Q22" i="110"/>
  <c r="Q13" i="110"/>
  <c r="Q31" i="110"/>
  <c r="Q18" i="110"/>
  <c r="Q6" i="110"/>
  <c r="Q4" i="110"/>
  <c r="N23" i="104"/>
  <c r="P23" i="104"/>
  <c r="N24" i="104"/>
  <c r="P24" i="104"/>
  <c r="N16" i="108"/>
  <c r="P16" i="108"/>
  <c r="N21" i="108"/>
  <c r="P21" i="108"/>
  <c r="N22" i="108"/>
  <c r="P22" i="108"/>
  <c r="M34" i="104"/>
  <c r="N26" i="108"/>
  <c r="P26" i="108"/>
  <c r="N32" i="106"/>
  <c r="Q26" i="106"/>
  <c r="N8" i="104"/>
  <c r="P8" i="104"/>
  <c r="O11" i="105"/>
  <c r="Q11" i="105"/>
  <c r="O6" i="105"/>
  <c r="Q6" i="105"/>
  <c r="O4" i="105"/>
  <c r="Q4" i="105"/>
  <c r="O12" i="105"/>
  <c r="Q12" i="105"/>
  <c r="O13" i="105"/>
  <c r="Q13" i="105"/>
  <c r="O10" i="105"/>
  <c r="Q10" i="105"/>
  <c r="O9" i="105"/>
  <c r="Q9" i="105"/>
  <c r="O7" i="105"/>
  <c r="Q7" i="105"/>
  <c r="N18" i="105"/>
  <c r="Q10" i="109"/>
  <c r="L34" i="108"/>
  <c r="N20" i="108"/>
  <c r="P20" i="108"/>
  <c r="N23" i="108"/>
  <c r="P23" i="108"/>
  <c r="N17" i="104"/>
  <c r="P17" i="104"/>
  <c r="N103" i="107"/>
  <c r="Q7" i="107"/>
  <c r="P46" i="107"/>
  <c r="N14" i="108"/>
  <c r="P14" i="108"/>
  <c r="N29" i="108"/>
  <c r="P29" i="108"/>
  <c r="N4" i="104"/>
  <c r="P4" i="104"/>
  <c r="N16" i="104"/>
  <c r="P16" i="104"/>
  <c r="N19" i="104"/>
  <c r="P19" i="104"/>
  <c r="N31" i="104"/>
  <c r="P31" i="104"/>
  <c r="N6" i="104"/>
  <c r="P6" i="104"/>
  <c r="N22" i="104"/>
  <c r="P22" i="104"/>
  <c r="N25" i="104"/>
  <c r="P25" i="104"/>
  <c r="N26" i="104"/>
  <c r="P26" i="104"/>
  <c r="N29" i="104"/>
  <c r="P29" i="104"/>
  <c r="N5" i="104"/>
  <c r="P5" i="104"/>
  <c r="N11" i="104"/>
  <c r="P11" i="104"/>
  <c r="N12" i="104"/>
  <c r="P12" i="104"/>
  <c r="N15" i="104"/>
  <c r="P15" i="104"/>
  <c r="N20" i="104"/>
  <c r="P20" i="104"/>
  <c r="N14" i="104"/>
  <c r="P14" i="104"/>
  <c r="N7" i="104"/>
  <c r="P7" i="104"/>
  <c r="N32" i="104"/>
  <c r="P32" i="104"/>
  <c r="N21" i="104"/>
  <c r="P21" i="104"/>
  <c r="N27" i="104"/>
  <c r="P27" i="104"/>
  <c r="N28" i="104"/>
  <c r="P28" i="104"/>
  <c r="M18" i="105"/>
  <c r="N13" i="104"/>
  <c r="P13" i="104"/>
  <c r="Q19" i="109"/>
  <c r="P21" i="109"/>
  <c r="Q75" i="107"/>
  <c r="Q44" i="107"/>
  <c r="Q18" i="107"/>
  <c r="Q26" i="107"/>
  <c r="P90" i="107"/>
  <c r="P58" i="107"/>
  <c r="P36" i="107"/>
  <c r="P16" i="107"/>
  <c r="N18" i="104"/>
  <c r="P18" i="104"/>
  <c r="P7" i="107"/>
  <c r="P11" i="107"/>
  <c r="P41" i="107"/>
  <c r="N17" i="108"/>
  <c r="Q39" i="107"/>
  <c r="Q63" i="107"/>
  <c r="K34" i="108"/>
  <c r="N7" i="108"/>
  <c r="N15" i="108"/>
  <c r="N19" i="108"/>
  <c r="N31" i="108"/>
  <c r="P32" i="106"/>
  <c r="Q10" i="106"/>
  <c r="Q17" i="106"/>
  <c r="Q12" i="106"/>
  <c r="Q23" i="106"/>
  <c r="Q4" i="106"/>
  <c r="Q7" i="106"/>
  <c r="Q11" i="106"/>
  <c r="Q5" i="105"/>
  <c r="L18" i="105"/>
  <c r="Q33" i="110"/>
  <c r="Q17" i="109"/>
  <c r="Q57" i="107"/>
  <c r="Q19" i="107"/>
  <c r="Q42" i="107"/>
  <c r="Q99" i="107"/>
  <c r="Q101" i="107"/>
  <c r="Q97" i="107"/>
  <c r="Q4" i="107"/>
  <c r="Q29" i="107"/>
  <c r="Q98" i="107"/>
  <c r="Q9" i="107"/>
  <c r="Q37" i="107"/>
  <c r="Q52" i="107"/>
  <c r="Q64" i="107"/>
  <c r="Q20" i="107"/>
  <c r="Q54" i="107"/>
  <c r="Q43" i="107"/>
  <c r="Q17" i="107"/>
  <c r="Q74" i="107"/>
  <c r="Q81" i="107"/>
  <c r="Q13" i="107"/>
  <c r="Q33" i="107"/>
  <c r="Q93" i="107"/>
  <c r="Q15" i="106"/>
  <c r="Q5" i="106"/>
  <c r="Q31" i="106"/>
  <c r="Q32" i="106"/>
  <c r="Q19" i="106"/>
  <c r="Q28" i="106"/>
  <c r="Q20" i="106"/>
  <c r="Q13" i="106"/>
  <c r="Q30" i="106"/>
  <c r="Q24" i="106"/>
  <c r="Q25" i="106"/>
  <c r="Q27" i="106"/>
  <c r="Q16" i="106"/>
  <c r="Q21" i="106"/>
  <c r="Q9" i="106"/>
  <c r="Q22" i="106"/>
  <c r="Q29" i="106"/>
  <c r="Q6" i="106"/>
  <c r="Q18" i="106"/>
  <c r="Q8" i="106"/>
  <c r="Q14" i="106"/>
  <c r="O14" i="105"/>
  <c r="R5" i="105"/>
  <c r="Q8" i="109"/>
  <c r="Q5" i="109"/>
  <c r="Q13" i="109"/>
  <c r="Q18" i="109"/>
  <c r="Q22" i="109"/>
  <c r="Q11" i="109"/>
  <c r="Q21" i="109"/>
  <c r="Q6" i="109"/>
  <c r="Q7" i="109"/>
  <c r="Q20" i="109"/>
  <c r="P22" i="109"/>
  <c r="Q12" i="109"/>
  <c r="Q15" i="109"/>
  <c r="Q14" i="109"/>
  <c r="Q9" i="109"/>
  <c r="Q16" i="109"/>
  <c r="Q71" i="107"/>
  <c r="Q59" i="107"/>
  <c r="Q100" i="107"/>
  <c r="Q60" i="107"/>
  <c r="Q35" i="107"/>
  <c r="Q15" i="107"/>
  <c r="Q82" i="107"/>
  <c r="Q92" i="107"/>
  <c r="Q32" i="107"/>
  <c r="Q78" i="107"/>
  <c r="Q103" i="107"/>
  <c r="Q79" i="107"/>
  <c r="Q14" i="107"/>
  <c r="Q55" i="107"/>
  <c r="Q45" i="107"/>
  <c r="Q38" i="107"/>
  <c r="Q47" i="107"/>
  <c r="Q10" i="107"/>
  <c r="Q22" i="107"/>
  <c r="Q31" i="107"/>
  <c r="Q27" i="107"/>
  <c r="Q25" i="107"/>
  <c r="Q50" i="107"/>
  <c r="Q76" i="107"/>
  <c r="Q69" i="107"/>
  <c r="Q12" i="107"/>
  <c r="Q6" i="107"/>
  <c r="Q28" i="107"/>
  <c r="Q21" i="107"/>
  <c r="Q89" i="107"/>
  <c r="P103" i="107"/>
  <c r="Q67" i="107"/>
  <c r="Q96" i="107"/>
  <c r="Q70" i="107"/>
  <c r="Q65" i="107"/>
  <c r="Q23" i="107"/>
  <c r="Q91" i="107"/>
  <c r="Q66" i="107"/>
  <c r="Q95" i="107"/>
  <c r="Q84" i="107"/>
  <c r="Q77" i="107"/>
  <c r="Q80" i="107"/>
  <c r="Q48" i="107"/>
  <c r="Q8" i="107"/>
  <c r="Q58" i="107"/>
  <c r="Q102" i="107"/>
  <c r="Q36" i="107"/>
  <c r="Q88" i="107"/>
  <c r="Q56" i="107"/>
  <c r="Q53" i="107"/>
  <c r="Q90" i="107"/>
  <c r="Q16" i="107"/>
  <c r="Q85" i="107"/>
  <c r="Q86" i="107"/>
  <c r="Q73" i="107"/>
  <c r="Q34" i="107"/>
  <c r="Q51" i="107"/>
  <c r="Q87" i="107"/>
  <c r="Q49" i="107"/>
  <c r="Q5" i="107"/>
  <c r="Q30" i="107"/>
  <c r="Q83" i="107"/>
  <c r="Q62" i="107"/>
  <c r="Q68" i="107"/>
  <c r="Q61" i="107"/>
  <c r="Q72" i="107"/>
  <c r="Q11" i="107"/>
  <c r="Q40" i="107"/>
  <c r="Q24" i="107"/>
  <c r="Q41" i="107"/>
  <c r="Q46" i="107"/>
  <c r="N30" i="104"/>
  <c r="P30" i="104"/>
  <c r="L34" i="104"/>
  <c r="N9" i="104"/>
  <c r="P9" i="104"/>
  <c r="P15" i="108"/>
  <c r="P7" i="108"/>
  <c r="N33" i="108"/>
  <c r="Q7" i="108"/>
  <c r="P31" i="108"/>
  <c r="P19" i="108"/>
  <c r="P17" i="108"/>
  <c r="K34" i="104"/>
  <c r="N10" i="104"/>
  <c r="R4" i="105"/>
  <c r="R7" i="105"/>
  <c r="R10" i="105"/>
  <c r="R11" i="105"/>
  <c r="R13" i="105"/>
  <c r="R6" i="105"/>
  <c r="R8" i="105"/>
  <c r="R12" i="105"/>
  <c r="R14" i="105"/>
  <c r="R9" i="105"/>
  <c r="Q14" i="105"/>
  <c r="Q19" i="108"/>
  <c r="P33" i="108"/>
  <c r="Q11" i="108"/>
  <c r="Q21" i="108"/>
  <c r="Q4" i="108"/>
  <c r="Q27" i="108"/>
  <c r="Q5" i="108"/>
  <c r="Q30" i="108"/>
  <c r="Q32" i="108"/>
  <c r="Q23" i="108"/>
  <c r="Q13" i="108"/>
  <c r="Q9" i="108"/>
  <c r="Q18" i="108"/>
  <c r="Q29" i="108"/>
  <c r="Q6" i="108"/>
  <c r="Q25" i="108"/>
  <c r="Q20" i="108"/>
  <c r="Q33" i="108"/>
  <c r="Q16" i="108"/>
  <c r="Q10" i="108"/>
  <c r="Q12" i="108"/>
  <c r="Q28" i="108"/>
  <c r="Q26" i="108"/>
  <c r="Q24" i="108"/>
  <c r="Q22" i="108"/>
  <c r="Q14" i="108"/>
  <c r="Q8" i="108"/>
  <c r="Q17" i="108"/>
  <c r="Q31" i="108"/>
  <c r="Q15" i="108"/>
  <c r="P10" i="104"/>
  <c r="N33" i="104"/>
  <c r="Q10" i="104"/>
  <c r="Q5" i="104"/>
  <c r="Q27" i="104"/>
  <c r="Q17" i="104"/>
  <c r="Q14" i="104"/>
  <c r="Q22" i="104"/>
  <c r="Q16" i="104"/>
  <c r="Q7" i="104"/>
  <c r="Q26" i="104"/>
  <c r="Q21" i="104"/>
  <c r="P33" i="104"/>
  <c r="Q15" i="104"/>
  <c r="Q19" i="104"/>
  <c r="Q23" i="104"/>
  <c r="Q28" i="104"/>
  <c r="Q11" i="104"/>
  <c r="Q13" i="104"/>
  <c r="Q32" i="104"/>
  <c r="Q4" i="104"/>
  <c r="Q12" i="104"/>
  <c r="Q18" i="104"/>
  <c r="Q6" i="104"/>
  <c r="Q9" i="104"/>
  <c r="Q30" i="104"/>
  <c r="Q25" i="104"/>
  <c r="Q24" i="104"/>
  <c r="Q8" i="104"/>
  <c r="Q29" i="104"/>
  <c r="Q20" i="104"/>
  <c r="Q31" i="104"/>
  <c r="Q33" i="104"/>
</calcChain>
</file>

<file path=xl/comments1.xml><?xml version="1.0" encoding="utf-8"?>
<comments xmlns="http://schemas.openxmlformats.org/spreadsheetml/2006/main">
  <authors>
    <author>Andy Adelman</author>
  </authors>
  <commentList>
    <comment ref="O14" authorId="0">
      <text>
        <r>
          <rPr>
            <b/>
            <sz val="9"/>
            <color indexed="81"/>
            <rFont val="Tahoma"/>
            <family val="2"/>
          </rPr>
          <t>Andy Adelman:</t>
        </r>
        <r>
          <rPr>
            <sz val="9"/>
            <color indexed="81"/>
            <rFont val="Tahoma"/>
            <family val="2"/>
          </rPr>
          <t xml:space="preserve">
Helper was not reported in 2014. Cell is hardcoded to zero.</t>
        </r>
      </text>
    </comment>
  </commentList>
</comments>
</file>

<file path=xl/sharedStrings.xml><?xml version="1.0" encoding="utf-8"?>
<sst xmlns="http://schemas.openxmlformats.org/spreadsheetml/2006/main" count="6136" uniqueCount="418">
  <si>
    <t>Total</t>
  </si>
  <si>
    <t>Restaurant Tax Distribution - 2002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</si>
  <si>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</si>
  <si>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</si>
  <si>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</si>
  <si>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</si>
  <si>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</si>
  <si>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</si>
  <si>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</si>
  <si>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</si>
  <si>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</si>
  <si>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</si>
  <si>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</si>
  <si>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</si>
  <si>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 2002</t>
  </si>
  <si>
    <t>YTD 2001</t>
  </si>
  <si>
    <t>% CHANGE</t>
  </si>
  <si>
    <t>BEAVER</t>
  </si>
  <si>
    <t>BOX ELDER</t>
  </si>
  <si>
    <t>CACHE</t>
  </si>
  <si>
    <t>CARBON</t>
  </si>
  <si>
    <t>DAGGETT</t>
  </si>
  <si>
    <t>DAVIS</t>
  </si>
  <si>
    <t>DUCHESNE</t>
  </si>
  <si>
    <t>GARFIELD</t>
  </si>
  <si>
    <t>GRAND</t>
  </si>
  <si>
    <t>IRON</t>
  </si>
  <si>
    <t>JUAB</t>
  </si>
  <si>
    <t>KANE</t>
  </si>
  <si>
    <t>MORGAN</t>
  </si>
  <si>
    <t>RICH</t>
  </si>
  <si>
    <t>SALT LAKE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</si>
  <si>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</si>
  <si>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</si>
  <si>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</si>
  <si>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</si>
  <si>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</si>
  <si>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</si>
  <si>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</si>
  <si>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</si>
  <si>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</si>
  <si>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</si>
  <si>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COUNTY</t>
  </si>
  <si>
    <t>Restaurant Tax Distribution - 2001</t>
  </si>
  <si>
    <t>Restaurant Tax Distribution - 2003</t>
  </si>
  <si>
    <t>SAN JUAN</t>
  </si>
  <si>
    <t>NA</t>
  </si>
  <si>
    <t>YTD 2003</t>
  </si>
  <si>
    <t>Special Transient Room Tax Distribution - 2002</t>
  </si>
  <si>
    <t>Special Transient Room Tax Distribution - 2003</t>
  </si>
  <si>
    <t>Transient Room Tax Distribution - 2002</t>
  </si>
  <si>
    <t>EMERY</t>
  </si>
  <si>
    <t>MILLARD</t>
  </si>
  <si>
    <t>PIUTE</t>
  </si>
  <si>
    <t>TOTAL</t>
  </si>
  <si>
    <t>Transient Room Tax Distribution - 2003</t>
  </si>
  <si>
    <t>County Tourism Taxes (TRT &amp; TRCC) - 2002</t>
  </si>
  <si>
    <t>County Tourism Taxes (TRT &amp; TRCC) - 2003</t>
  </si>
  <si>
    <t>SHARE</t>
  </si>
  <si>
    <t>GRAND*</t>
  </si>
  <si>
    <t>* Figure for Grand County does not include self-collected TRT</t>
  </si>
  <si>
    <t xml:space="preserve">SOURCE: Utah State Tax Commission </t>
  </si>
  <si>
    <t>Transient Room Tax Distribution - 2004</t>
  </si>
  <si>
    <t>YTD 2004</t>
  </si>
  <si>
    <t>Special Transient Room Tax Distribution - 2004</t>
  </si>
  <si>
    <t>Restaurant Tax Distribution - 2004</t>
  </si>
  <si>
    <t>TYD 2004</t>
  </si>
  <si>
    <t>County Tourism Taxes (TRT &amp; TRCC) - 2004</t>
  </si>
  <si>
    <t>YTD 2002r</t>
  </si>
  <si>
    <t>YTD 2003r</t>
  </si>
  <si>
    <t>TYD 2003r</t>
  </si>
  <si>
    <t>County Tourism Taxes (TRT &amp; TRCC) - 2005</t>
  </si>
  <si>
    <t>Restaurant Tax Distribution - 2005</t>
  </si>
  <si>
    <t>TYD 2005</t>
  </si>
  <si>
    <t>YTD 2005</t>
  </si>
  <si>
    <t>Transient Room Tax Distribution - 2005</t>
  </si>
  <si>
    <t>Special Transient Room Tax Distribution - 2005</t>
  </si>
  <si>
    <t>Convention Tourism Tax Distribution - 2005</t>
  </si>
  <si>
    <t>Transient Room Tax Distribution - 2006</t>
  </si>
  <si>
    <t>YTD 2006</t>
  </si>
  <si>
    <t>Special Transient Room Tax Distribution - 2006</t>
  </si>
  <si>
    <t>Restaurant Tax Distribution - 2006</t>
  </si>
  <si>
    <t>TYD 2006</t>
  </si>
  <si>
    <t>County Tourism Taxes (TRT &amp; TRCC) - 2006</t>
  </si>
  <si>
    <t>Transient Room Tax Distribution - 2007</t>
  </si>
  <si>
    <t>Special Transient Room Tax Distribution - 2007</t>
  </si>
  <si>
    <t>Convention Tourism Tax Distribution - 2007</t>
  </si>
  <si>
    <t>YTD 2007</t>
  </si>
  <si>
    <t>Restaurant Tax Distribution - 2007</t>
  </si>
  <si>
    <t>TYD 2007</t>
  </si>
  <si>
    <t>County Tourism Taxes (TRT &amp; TRCC) - 2007</t>
  </si>
  <si>
    <t>Transient Room Tax Distribution - 2008</t>
  </si>
  <si>
    <t>YTD 2008</t>
  </si>
  <si>
    <t>Special Transient Room Tax Distribution - 2008</t>
  </si>
  <si>
    <t>Restaurant Tax Distribution - 2008</t>
  </si>
  <si>
    <t>TYD 2008</t>
  </si>
  <si>
    <t>County Tourism Taxes (TRT &amp; TRCC) - 2008</t>
  </si>
  <si>
    <t>WASHINGT</t>
  </si>
  <si>
    <t>Restaurant Tax Distribution - 2009</t>
  </si>
  <si>
    <t>TYD 2009</t>
  </si>
  <si>
    <t>YTD 2009</t>
  </si>
  <si>
    <t>Transient Room Tax Distribution - 2009</t>
  </si>
  <si>
    <t>Special Transient Room Tax Distribution - 2009</t>
  </si>
  <si>
    <t>County Tourism Taxes (TRT &amp; TRCC) - 2009</t>
  </si>
  <si>
    <t>EMERY*</t>
  </si>
  <si>
    <t>* Emery started reporting 6/09</t>
  </si>
  <si>
    <t>Restaurant Tax Distribution - 2010</t>
  </si>
  <si>
    <t>YTD 2010</t>
  </si>
  <si>
    <t>Transient Room Tax Distribution - 2010</t>
  </si>
  <si>
    <t>Special Transient Room Tax Distribution - 2010</t>
  </si>
  <si>
    <t>County Tourism Taxes (TRT &amp; TRCC) - 2010</t>
  </si>
  <si>
    <t>Restaurant Tax Distribution - 2011</t>
  </si>
  <si>
    <t>YTD 2011</t>
  </si>
  <si>
    <t>Transient Room Tax Distribution - 2011</t>
  </si>
  <si>
    <t>Special Transient Room Tax Distribution - 2011</t>
  </si>
  <si>
    <t>County Tourism Taxes (TRT &amp; TRCC) - 2011</t>
  </si>
  <si>
    <t>italic=estimate</t>
  </si>
  <si>
    <t>trcc</t>
  </si>
  <si>
    <t>County Tourism Taxes (TRT &amp; TRCC) - 2012</t>
  </si>
  <si>
    <t>YTD 2012</t>
  </si>
  <si>
    <t>Restaurant Tax Distribution - 2012</t>
  </si>
  <si>
    <t>County Transient Room Tax Distribution - 2012</t>
  </si>
  <si>
    <t>GRAND 2012</t>
  </si>
  <si>
    <t>GRAND 2011</t>
  </si>
  <si>
    <t>County Tourism Taxes (TRT &amp; TRCC) - 2013</t>
  </si>
  <si>
    <t>Restaurant Tax Distribution - 2013</t>
  </si>
  <si>
    <t>County Transient Room Tax Distribution - 2013</t>
  </si>
  <si>
    <t>YTD 2013</t>
  </si>
  <si>
    <t>Special Transient Room Tax Distribution - 2013</t>
  </si>
  <si>
    <t>Special Transient Room Tax Distribution - 2012</t>
  </si>
  <si>
    <t>July</t>
  </si>
  <si>
    <t>August</t>
  </si>
  <si>
    <t>September</t>
  </si>
  <si>
    <t>October</t>
  </si>
  <si>
    <t>November</t>
  </si>
  <si>
    <t>December</t>
  </si>
  <si>
    <t>TC-23</t>
  </si>
  <si>
    <t>Diff</t>
  </si>
  <si>
    <t>FY 2012</t>
  </si>
  <si>
    <t>FY 2013</t>
  </si>
  <si>
    <t>website</t>
  </si>
  <si>
    <t>January</t>
  </si>
  <si>
    <t>February</t>
  </si>
  <si>
    <t>March</t>
  </si>
  <si>
    <t>April</t>
  </si>
  <si>
    <t>May</t>
  </si>
  <si>
    <t>June</t>
  </si>
  <si>
    <t>YTD 2014</t>
  </si>
  <si>
    <t>County Transient Room Tax Distribution - 2014</t>
  </si>
  <si>
    <t>Restaurant Tax Distribution - 2014</t>
  </si>
  <si>
    <t>County Tourism Taxes (TRT &amp; TRCC) - 2014</t>
  </si>
  <si>
    <t>MUNICIPAL TRANSIENT ROOM TAX - 2014</t>
  </si>
  <si>
    <t>CITY</t>
  </si>
  <si>
    <t>Beaver County</t>
  </si>
  <si>
    <t>Milford</t>
  </si>
  <si>
    <t>Box Elder County</t>
  </si>
  <si>
    <t>Brigham City</t>
  </si>
  <si>
    <t>Perry</t>
  </si>
  <si>
    <t>Tremonton</t>
  </si>
  <si>
    <t>Cache County</t>
  </si>
  <si>
    <t>Logan</t>
  </si>
  <si>
    <t>North Logan</t>
  </si>
  <si>
    <t>Carbon County</t>
  </si>
  <si>
    <t>Price</t>
  </si>
  <si>
    <t>Daggett County</t>
  </si>
  <si>
    <t>Davis County</t>
  </si>
  <si>
    <t>Clearfield</t>
  </si>
  <si>
    <t>Farmington</t>
  </si>
  <si>
    <t>Layton</t>
  </si>
  <si>
    <t xml:space="preserve">North Salt Lake </t>
  </si>
  <si>
    <t>Sunset</t>
  </si>
  <si>
    <t>Woods Cross</t>
  </si>
  <si>
    <t>West Bountiful</t>
  </si>
  <si>
    <t>Duchesne County</t>
  </si>
  <si>
    <t>Roosevelt</t>
  </si>
  <si>
    <t>Emery County</t>
  </si>
  <si>
    <t>Green River</t>
  </si>
  <si>
    <t>Garfield County</t>
  </si>
  <si>
    <t>Escalante</t>
  </si>
  <si>
    <t>Grand County</t>
  </si>
  <si>
    <t>Moab</t>
  </si>
  <si>
    <t>Iron County</t>
  </si>
  <si>
    <t>Cedar City</t>
  </si>
  <si>
    <t>Brian Head</t>
  </si>
  <si>
    <t>Juab County</t>
  </si>
  <si>
    <t>Santaquin South</t>
  </si>
  <si>
    <t>Kane County</t>
  </si>
  <si>
    <t>Glendale</t>
  </si>
  <si>
    <t>Kanab</t>
  </si>
  <si>
    <t>Millard County</t>
  </si>
  <si>
    <t>Delta</t>
  </si>
  <si>
    <t>Fillmore</t>
  </si>
  <si>
    <t>Morgan County</t>
  </si>
  <si>
    <t>Piute County</t>
  </si>
  <si>
    <t>Rich County</t>
  </si>
  <si>
    <t>Salt Lake County</t>
  </si>
  <si>
    <t>Cottonwood Heights</t>
  </si>
  <si>
    <t>Cottonwood Heig</t>
  </si>
  <si>
    <t>Draper</t>
  </si>
  <si>
    <t>Holladay</t>
  </si>
  <si>
    <t>Midvale</t>
  </si>
  <si>
    <t>Murray</t>
  </si>
  <si>
    <t>Salt Lake City</t>
  </si>
  <si>
    <t>Sandy</t>
  </si>
  <si>
    <t>South Salt Lake</t>
  </si>
  <si>
    <t>West Jordan</t>
  </si>
  <si>
    <t>West Valley</t>
  </si>
  <si>
    <t>San Juan County</t>
  </si>
  <si>
    <t>Blanding</t>
  </si>
  <si>
    <t>Monticello</t>
  </si>
  <si>
    <t>Sanpete County</t>
  </si>
  <si>
    <t>Sevier County</t>
  </si>
  <si>
    <t>Richfield</t>
  </si>
  <si>
    <t>Salina</t>
  </si>
  <si>
    <t>Summit County</t>
  </si>
  <si>
    <t>Tooele County</t>
  </si>
  <si>
    <t>Tooele City</t>
  </si>
  <si>
    <t>Uintah County</t>
  </si>
  <si>
    <t>Naples</t>
  </si>
  <si>
    <t>Vernal</t>
  </si>
  <si>
    <t>Ballard</t>
  </si>
  <si>
    <t>Utah County</t>
  </si>
  <si>
    <t>Lehi</t>
  </si>
  <si>
    <t>Lindon</t>
  </si>
  <si>
    <t>Orem</t>
  </si>
  <si>
    <t>Payson</t>
  </si>
  <si>
    <t>Provo</t>
  </si>
  <si>
    <t>Springville</t>
  </si>
  <si>
    <t>Wasatch County</t>
  </si>
  <si>
    <t>Heber</t>
  </si>
  <si>
    <t>Midway</t>
  </si>
  <si>
    <t>Washington County</t>
  </si>
  <si>
    <t>Hurricane</t>
  </si>
  <si>
    <t>Ivins</t>
  </si>
  <si>
    <t>La Verkin</t>
  </si>
  <si>
    <t>Rockville</t>
  </si>
  <si>
    <t>St. George</t>
  </si>
  <si>
    <t>Santa Clara</t>
  </si>
  <si>
    <t>Springdale</t>
  </si>
  <si>
    <t>Toquerville</t>
  </si>
  <si>
    <t>Virgin</t>
  </si>
  <si>
    <t>Wayne County</t>
  </si>
  <si>
    <t>Hanksville</t>
  </si>
  <si>
    <t>Weber County</t>
  </si>
  <si>
    <t>Marriott-Slaterville</t>
  </si>
  <si>
    <t>Ogden</t>
  </si>
  <si>
    <t>Riverdale</t>
  </si>
  <si>
    <t>Uintah</t>
  </si>
  <si>
    <t>West Haven</t>
  </si>
  <si>
    <t>MUNICIPAL TRANSIENT ROOM TAX - 2013</t>
  </si>
  <si>
    <t>-</t>
  </si>
  <si>
    <t>MUNICIPAL TRANSIENT ROOM TAX - 2012</t>
  </si>
  <si>
    <t>MUNICIPAL TRANSIENT ROOM TAX - 2011</t>
  </si>
  <si>
    <t>Italic = estimate</t>
  </si>
  <si>
    <t>MUNICIPAL TRANSIENT ROOM TAX - 2010</t>
  </si>
  <si>
    <t>Clearfield*</t>
  </si>
  <si>
    <t>Sunset*</t>
  </si>
  <si>
    <t>no report</t>
  </si>
  <si>
    <t>West Haven*</t>
  </si>
  <si>
    <t>* No 2009 report</t>
  </si>
  <si>
    <t>MUNICIPAL TRANSIENT ROOM TAX - 2009</t>
  </si>
  <si>
    <t>Beaver City</t>
  </si>
  <si>
    <t>E Green River</t>
  </si>
  <si>
    <t>LaVerkin</t>
  </si>
  <si>
    <t>North Ogden</t>
  </si>
  <si>
    <t>% Change</t>
  </si>
  <si>
    <t>MUNICIPAL TRANSIENT ROOM TAX - 2008</t>
  </si>
  <si>
    <t>Estimated from last year</t>
  </si>
  <si>
    <t>reported $0</t>
  </si>
  <si>
    <t>reported 0</t>
  </si>
  <si>
    <t xml:space="preserve">reported 0 </t>
  </si>
  <si>
    <t>MUNICIPAL TRANSIENT ROOM TAX - 2007</t>
  </si>
  <si>
    <t>% change</t>
  </si>
  <si>
    <t>MUNICIPAL TRANSIENT ROOM TAX - 2006</t>
  </si>
  <si>
    <t>North Salt Lake</t>
  </si>
  <si>
    <t>MUNICIPAL TRANSIENT ROOM TAX - 2005</t>
  </si>
  <si>
    <t>West Bountiful City</t>
  </si>
  <si>
    <t>MUNICIPAL TRANSIENT ROOM TAX - 2004</t>
  </si>
  <si>
    <t>MUNICIPAL TRANSIENT ROOM TAX - 2003</t>
  </si>
  <si>
    <t>MUNICIPAL TRANSIENT ROOM TAX - 2002</t>
  </si>
  <si>
    <t>Mariott-Slaterville</t>
  </si>
  <si>
    <t>RESORT COMMUNITIES SALES TAX - 2014</t>
  </si>
  <si>
    <t>Boulder</t>
  </si>
  <si>
    <t>Bryce Canyon</t>
  </si>
  <si>
    <t>Panguitch</t>
  </si>
  <si>
    <t>Tropic</t>
  </si>
  <si>
    <t>Orderville</t>
  </si>
  <si>
    <t>Garden City</t>
  </si>
  <si>
    <t>Alta</t>
  </si>
  <si>
    <t>Park City</t>
  </si>
  <si>
    <t>Independence</t>
  </si>
  <si>
    <t>Park City East</t>
  </si>
  <si>
    <t>RESORT COMMUNITIES SALES TAX - 2013</t>
  </si>
  <si>
    <t>RESORT COMMUNITIES SALES TAX - 2012</t>
  </si>
  <si>
    <t>RESORT COMMUNITIES SALES TAX - 2011</t>
  </si>
  <si>
    <t>RESORT COMMUNITIES SALES TAX - 2010</t>
  </si>
  <si>
    <t>RESORT COMMUNITIES SALES TAX - 2009</t>
  </si>
  <si>
    <t>not reporting '09</t>
  </si>
  <si>
    <t>Independence*</t>
  </si>
  <si>
    <t>* Not reported in 2008</t>
  </si>
  <si>
    <t>RESORT COMMUNITIES SALES TAX - 2008</t>
  </si>
  <si>
    <t>* Bryce Canyon not included in YTD 2008 total- no 2007 numbers to compare to</t>
  </si>
  <si>
    <t>** Park City East not included in YTD 2008 total and removed from YTD 2007 - 2008 numbers not being reported</t>
  </si>
  <si>
    <t>RESORT COMMUNITIES SALES TAX - 2007</t>
  </si>
  <si>
    <t>RESORT COMMUNITIES SALES TAX - 2006</t>
  </si>
  <si>
    <t>RESORT COMMUNITIES SALES TAX - 2005</t>
  </si>
  <si>
    <t>RESORT COMMUNITIES SALES TAX - 2004</t>
  </si>
  <si>
    <t>RESORT COMMUNITIES SALES TAX - 2003</t>
  </si>
  <si>
    <t>RESORT COMMUNITIES SALES TAX - 2002</t>
  </si>
  <si>
    <t>Short-term Leasing Tax</t>
  </si>
  <si>
    <t>Municipality</t>
  </si>
  <si>
    <t>Co/City Code</t>
  </si>
  <si>
    <t/>
  </si>
  <si>
    <t>Grand Total</t>
  </si>
  <si>
    <t>YTD Current</t>
  </si>
  <si>
    <t>YTD Previous</t>
  </si>
  <si>
    <t>Location</t>
  </si>
  <si>
    <t>Code</t>
  </si>
  <si>
    <t>FF</t>
  </si>
  <si>
    <t>FP</t>
  </si>
  <si>
    <t>06-000</t>
  </si>
  <si>
    <t>07-000</t>
  </si>
  <si>
    <t>10-000</t>
  </si>
  <si>
    <t>15-000</t>
  </si>
  <si>
    <t>18-000</t>
  </si>
  <si>
    <t>21-000</t>
  </si>
  <si>
    <t>24-000</t>
  </si>
  <si>
    <t>25-000</t>
  </si>
  <si>
    <t>27-000</t>
  </si>
  <si>
    <t>29-000</t>
  </si>
  <si>
    <t>South Jordan</t>
  </si>
  <si>
    <t>Farr West</t>
  </si>
  <si>
    <t>*SHORT TERM LEASING SALES TAX DISTRIBUTION</t>
  </si>
  <si>
    <t>*SHORT TERM LEASING REVENUES FROM POPULATION</t>
  </si>
  <si>
    <t>`</t>
  </si>
  <si>
    <t>Tourism Transient Room Tax Distribution - 2014</t>
  </si>
  <si>
    <t>YTD 2015</t>
  </si>
  <si>
    <t>County Transient Room Tax Distribution - 2015</t>
  </si>
  <si>
    <t>Tourism Transient Room Tax Distribution - 2015</t>
  </si>
  <si>
    <t>RESORT COMMUNITIES SALES TAX - 2015</t>
  </si>
  <si>
    <t>Short-term Leasing Tax 2015</t>
  </si>
  <si>
    <t>Restaurant Tax Distribution - 2015</t>
  </si>
  <si>
    <t>MUNICIPAL TRANSIENT ROOM TAX - 2015</t>
  </si>
  <si>
    <t>County Tourism Taxes (TRT &amp; R &amp; CR) - 2015</t>
  </si>
  <si>
    <t xml:space="preserve">% Change </t>
  </si>
  <si>
    <t>http://tax.utah.gov/sales/distribution</t>
  </si>
  <si>
    <t>Helper</t>
  </si>
  <si>
    <t>Share</t>
  </si>
  <si>
    <t>County Tourism Taxes (TRT &amp; R &amp; CR) - 2016</t>
  </si>
  <si>
    <t>YTD 2016</t>
  </si>
  <si>
    <t>Short-term Leasing Tax 2016</t>
  </si>
  <si>
    <t>Restaurant Tax Distribution - 2016</t>
  </si>
  <si>
    <t>MUNICIPAL TRANSIENT ROOM TAX - 2016</t>
  </si>
  <si>
    <t>County Transient Room Tax Distribution - 2016</t>
  </si>
  <si>
    <t>Tourism Transient Room Tax Distribution - 2016</t>
  </si>
  <si>
    <t>RESORT COMMUNITIES SALES TAX - 2016</t>
  </si>
  <si>
    <t>Marriot-Slaterville</t>
  </si>
  <si>
    <t>West Valley City</t>
  </si>
  <si>
    <t>County Tourism Taxes (TRT &amp; R &amp; CR) - 2017</t>
  </si>
  <si>
    <t>YTD 2017</t>
  </si>
  <si>
    <t>Short-term Leasing Tax 2017</t>
  </si>
  <si>
    <t>Restaurant Tax Distribution - 2017</t>
  </si>
  <si>
    <t>MUNICIPAL TRANSIENT ROOM TAX - 2017</t>
  </si>
  <si>
    <t>County Transient Room Tax Distribution - 2017</t>
  </si>
  <si>
    <t>RESORT COMMUNITIES SALES TAX - 2017</t>
  </si>
  <si>
    <t>N/A</t>
  </si>
  <si>
    <t>Morgan City</t>
  </si>
  <si>
    <t>179.326.14</t>
  </si>
  <si>
    <r>
      <t xml:space="preserve">BEAVER </t>
    </r>
    <r>
      <rPr>
        <sz val="8"/>
        <rFont val="Arial"/>
        <family val="2"/>
      </rPr>
      <t>(1000)</t>
    </r>
  </si>
  <si>
    <r>
      <t xml:space="preserve">BOX ELDER </t>
    </r>
    <r>
      <rPr>
        <sz val="8"/>
        <rFont val="Arial"/>
        <family val="2"/>
      </rPr>
      <t>(2000)</t>
    </r>
  </si>
  <si>
    <r>
      <t xml:space="preserve">CACHE </t>
    </r>
    <r>
      <rPr>
        <sz val="8"/>
        <rFont val="Arial"/>
        <family val="2"/>
      </rPr>
      <t>(3000)</t>
    </r>
  </si>
  <si>
    <r>
      <t xml:space="preserve">CARBON </t>
    </r>
    <r>
      <rPr>
        <sz val="8"/>
        <rFont val="Arial"/>
        <family val="2"/>
      </rPr>
      <t>(4000)</t>
    </r>
  </si>
  <si>
    <r>
      <t xml:space="preserve">DAGGETT </t>
    </r>
    <r>
      <rPr>
        <sz val="8"/>
        <rFont val="Arial"/>
        <family val="2"/>
      </rPr>
      <t>(5000)</t>
    </r>
  </si>
  <si>
    <r>
      <t xml:space="preserve">DAVIS </t>
    </r>
    <r>
      <rPr>
        <sz val="8"/>
        <rFont val="Arial"/>
        <family val="2"/>
      </rPr>
      <t>(6000)</t>
    </r>
  </si>
  <si>
    <r>
      <t xml:space="preserve">DUCHESNE </t>
    </r>
    <r>
      <rPr>
        <sz val="8"/>
        <rFont val="Arial"/>
        <family val="2"/>
      </rPr>
      <t>(7000)</t>
    </r>
  </si>
  <si>
    <r>
      <t xml:space="preserve">EMERY </t>
    </r>
    <r>
      <rPr>
        <sz val="8"/>
        <rFont val="Arial"/>
        <family val="2"/>
      </rPr>
      <t>(8000)</t>
    </r>
  </si>
  <si>
    <r>
      <t xml:space="preserve">GARFIELD </t>
    </r>
    <r>
      <rPr>
        <sz val="8"/>
        <rFont val="Arial"/>
        <family val="2"/>
      </rPr>
      <t>(9000)</t>
    </r>
  </si>
  <si>
    <r>
      <t xml:space="preserve">GRAND </t>
    </r>
    <r>
      <rPr>
        <sz val="8"/>
        <rFont val="Arial"/>
        <family val="2"/>
      </rPr>
      <t>(10000)</t>
    </r>
  </si>
  <si>
    <r>
      <t xml:space="preserve">IRON </t>
    </r>
    <r>
      <rPr>
        <sz val="8"/>
        <rFont val="Arial"/>
        <family val="2"/>
      </rPr>
      <t>(11000)</t>
    </r>
  </si>
  <si>
    <r>
      <t xml:space="preserve">JUAB </t>
    </r>
    <r>
      <rPr>
        <sz val="8"/>
        <rFont val="Arial"/>
        <family val="2"/>
      </rPr>
      <t>(12000)</t>
    </r>
  </si>
  <si>
    <r>
      <t xml:space="preserve">KANE </t>
    </r>
    <r>
      <rPr>
        <sz val="8"/>
        <rFont val="Arial"/>
        <family val="2"/>
      </rPr>
      <t>(13000)</t>
    </r>
  </si>
  <si>
    <r>
      <t xml:space="preserve">MILLARD </t>
    </r>
    <r>
      <rPr>
        <sz val="8"/>
        <rFont val="Arial"/>
        <family val="2"/>
      </rPr>
      <t>(14000)</t>
    </r>
  </si>
  <si>
    <r>
      <t xml:space="preserve">MORGAN </t>
    </r>
    <r>
      <rPr>
        <sz val="8"/>
        <rFont val="Arial"/>
        <family val="2"/>
      </rPr>
      <t>(15000)</t>
    </r>
  </si>
  <si>
    <r>
      <t xml:space="preserve">RICH </t>
    </r>
    <r>
      <rPr>
        <sz val="8"/>
        <rFont val="Arial"/>
        <family val="2"/>
      </rPr>
      <t>(17000)</t>
    </r>
  </si>
  <si>
    <r>
      <t xml:space="preserve">SALT LAKE </t>
    </r>
    <r>
      <rPr>
        <sz val="8"/>
        <rFont val="Arial"/>
        <family val="2"/>
      </rPr>
      <t>(18000)</t>
    </r>
  </si>
  <si>
    <r>
      <t xml:space="preserve">SAN JUAN </t>
    </r>
    <r>
      <rPr>
        <sz val="8"/>
        <rFont val="Arial"/>
        <family val="2"/>
      </rPr>
      <t>(19000)</t>
    </r>
  </si>
  <si>
    <r>
      <t xml:space="preserve">SANPETE </t>
    </r>
    <r>
      <rPr>
        <sz val="8"/>
        <rFont val="Arial"/>
        <family val="2"/>
      </rPr>
      <t>(20000)</t>
    </r>
  </si>
  <si>
    <r>
      <t xml:space="preserve">SEVIER </t>
    </r>
    <r>
      <rPr>
        <sz val="8"/>
        <rFont val="Arial"/>
        <family val="2"/>
      </rPr>
      <t>(21000)</t>
    </r>
  </si>
  <si>
    <r>
      <t xml:space="preserve">SUMMIT </t>
    </r>
    <r>
      <rPr>
        <sz val="8"/>
        <rFont val="Arial"/>
        <family val="2"/>
      </rPr>
      <t>(22000)</t>
    </r>
  </si>
  <si>
    <r>
      <t xml:space="preserve">TOOELE </t>
    </r>
    <r>
      <rPr>
        <sz val="8"/>
        <rFont val="Arial"/>
        <family val="2"/>
      </rPr>
      <t>(23000)</t>
    </r>
  </si>
  <si>
    <r>
      <t xml:space="preserve">UINTAH </t>
    </r>
    <r>
      <rPr>
        <sz val="8"/>
        <rFont val="Arial"/>
        <family val="2"/>
      </rPr>
      <t>(24000)</t>
    </r>
  </si>
  <si>
    <r>
      <t xml:space="preserve">UTAH </t>
    </r>
    <r>
      <rPr>
        <sz val="8"/>
        <rFont val="Arial"/>
        <family val="2"/>
      </rPr>
      <t>(25000)</t>
    </r>
  </si>
  <si>
    <r>
      <t xml:space="preserve">WASATCH </t>
    </r>
    <r>
      <rPr>
        <sz val="8"/>
        <rFont val="Arial"/>
        <family val="2"/>
      </rPr>
      <t>(26000)</t>
    </r>
  </si>
  <si>
    <r>
      <t xml:space="preserve">WASHINGTON </t>
    </r>
    <r>
      <rPr>
        <sz val="8"/>
        <rFont val="Arial"/>
        <family val="2"/>
      </rPr>
      <t>(27000)</t>
    </r>
  </si>
  <si>
    <r>
      <t xml:space="preserve">WAYNE </t>
    </r>
    <r>
      <rPr>
        <sz val="8"/>
        <rFont val="Arial"/>
        <family val="2"/>
      </rPr>
      <t>(28000)</t>
    </r>
  </si>
  <si>
    <r>
      <t xml:space="preserve">WEBER </t>
    </r>
    <r>
      <rPr>
        <sz val="8"/>
        <rFont val="Arial"/>
        <family val="2"/>
      </rPr>
      <t>(29000)</t>
    </r>
  </si>
  <si>
    <r>
      <t xml:space="preserve">Dutch John </t>
    </r>
    <r>
      <rPr>
        <sz val="8"/>
        <rFont val="Arial"/>
        <family val="2"/>
      </rPr>
      <t>(5002)</t>
    </r>
  </si>
  <si>
    <r>
      <t xml:space="preserve">Green River </t>
    </r>
    <r>
      <rPr>
        <sz val="8"/>
        <rFont val="Arial"/>
        <family val="2"/>
      </rPr>
      <t>(8011)</t>
    </r>
  </si>
  <si>
    <r>
      <t xml:space="preserve">Boulder </t>
    </r>
    <r>
      <rPr>
        <sz val="8"/>
        <rFont val="Arial"/>
        <family val="2"/>
      </rPr>
      <t>(9002)</t>
    </r>
  </si>
  <si>
    <r>
      <t xml:space="preserve">Bryce Canyon </t>
    </r>
    <r>
      <rPr>
        <sz val="8"/>
        <rFont val="Arial"/>
        <family val="2"/>
      </rPr>
      <t>(9003)</t>
    </r>
  </si>
  <si>
    <r>
      <t xml:space="preserve">Escalante </t>
    </r>
    <r>
      <rPr>
        <sz val="8"/>
        <rFont val="Arial"/>
        <family val="2"/>
      </rPr>
      <t>(9005)</t>
    </r>
  </si>
  <si>
    <r>
      <t xml:space="preserve">Panguitch </t>
    </r>
    <r>
      <rPr>
        <sz val="8"/>
        <rFont val="Arial"/>
        <family val="2"/>
      </rPr>
      <t>(9011)</t>
    </r>
  </si>
  <si>
    <r>
      <t xml:space="preserve">Tropic </t>
    </r>
    <r>
      <rPr>
        <sz val="8"/>
        <rFont val="Arial"/>
        <family val="2"/>
      </rPr>
      <t>(9015)</t>
    </r>
  </si>
  <si>
    <r>
      <t xml:space="preserve">Moab </t>
    </r>
    <r>
      <rPr>
        <sz val="8"/>
        <rFont val="Arial"/>
        <family val="2"/>
      </rPr>
      <t>(10011)</t>
    </r>
  </si>
  <si>
    <r>
      <t xml:space="preserve">Brian Head </t>
    </r>
    <r>
      <rPr>
        <sz val="8"/>
        <rFont val="Arial"/>
        <family val="2"/>
      </rPr>
      <t>(11028)</t>
    </r>
  </si>
  <si>
    <r>
      <t xml:space="preserve">Kanab </t>
    </r>
    <r>
      <rPr>
        <sz val="8"/>
        <rFont val="Arial"/>
        <family val="2"/>
      </rPr>
      <t>(13004)</t>
    </r>
  </si>
  <si>
    <r>
      <t xml:space="preserve">Orderville </t>
    </r>
    <r>
      <rPr>
        <sz val="8"/>
        <rFont val="Arial"/>
        <family val="2"/>
      </rPr>
      <t>(13007)</t>
    </r>
  </si>
  <si>
    <r>
      <t xml:space="preserve">Garden City </t>
    </r>
    <r>
      <rPr>
        <sz val="8"/>
        <rFont val="Arial"/>
        <family val="2"/>
      </rPr>
      <t>(17001)</t>
    </r>
  </si>
  <si>
    <r>
      <t xml:space="preserve">Alta </t>
    </r>
    <r>
      <rPr>
        <sz val="8"/>
        <rFont val="Arial"/>
        <family val="2"/>
      </rPr>
      <t>(18003)</t>
    </r>
  </si>
  <si>
    <r>
      <t xml:space="preserve">Monticello </t>
    </r>
    <r>
      <rPr>
        <sz val="8"/>
        <rFont val="Arial"/>
        <family val="2"/>
      </rPr>
      <t>(19009)</t>
    </r>
  </si>
  <si>
    <r>
      <t xml:space="preserve">Park City </t>
    </r>
    <r>
      <rPr>
        <sz val="8"/>
        <rFont val="Arial"/>
        <family val="2"/>
      </rPr>
      <t>(22030)</t>
    </r>
  </si>
  <si>
    <r>
      <t xml:space="preserve">Independence </t>
    </r>
    <r>
      <rPr>
        <sz val="8"/>
        <rFont val="Arial"/>
        <family val="2"/>
      </rPr>
      <t>(26009)</t>
    </r>
  </si>
  <si>
    <r>
      <t xml:space="preserve">Midway </t>
    </r>
    <r>
      <rPr>
        <sz val="8"/>
        <rFont val="Arial"/>
        <family val="2"/>
      </rPr>
      <t>(26011)</t>
    </r>
  </si>
  <si>
    <r>
      <t xml:space="preserve">Springdale </t>
    </r>
    <r>
      <rPr>
        <sz val="8"/>
        <rFont val="Arial"/>
        <family val="2"/>
      </rPr>
      <t>(27023)</t>
    </r>
  </si>
  <si>
    <t>Millcreek</t>
  </si>
  <si>
    <t>Joseph</t>
  </si>
  <si>
    <t>Hildale</t>
  </si>
  <si>
    <t>New municipalities since 2016: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</si>
</sst>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_(&quot;$&quot;* #,##0_);_(&quot;$&quot;* \(#,##0\);_(&quot;$&quot;* &quot;-&quot;??_);_(@_)"/>
    <numFmt numFmtId="166" formatCode="0.0%"/>
    <numFmt numFmtId="167" formatCode="&quot;$&quot;#,##0"/>
    <numFmt numFmtId="168" formatCode="&quot;$&quot;#,##0.00"/>
    <numFmt numFmtId="169" formatCode="&quot;$&quot;#,##0.0"/>
    <numFmt numFmtId="170" formatCode="_(* #,##0_);_(* \(#,##0\);_(* &quot;-&quot;??_);_(@_)"/>
    <numFmt numFmtId="171" formatCode="00000"/>
    <numFmt numFmtId="172" formatCode="[$-409]mmm\-yy;@"/>
    <numFmt numFmtId="173" formatCode="0.000%"/>
    <numFmt numFmtId="174" formatCode="General_)"/>
    <numFmt numFmtId="175" formatCode="&quot;$&quot;#,##0;[Red]&quot;$&quot;#,##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8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color rgb="FF222222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Calibri"/>
      <family val="2"/>
      <scheme val="minor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1"/>
      <name val="Arial"/>
    </font>
    <font>
      <sz val="10"/>
      <color theme="9" tint="-0.499984740745262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EE39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992"/>
        <bgColor indexed="64"/>
      </patternFill>
    </fill>
    <fill>
      <patternFill patternType="solid">
        <fgColor rgb="FFFFFF87"/>
        <bgColor indexed="64"/>
      </patternFill>
    </fill>
  </fills>
  <borders count="9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66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6" fillId="16" borderId="0" applyNumberFormat="0" applyBorder="0" applyAlignment="0" applyProtection="0"/>
    <xf numFmtId="0" fontId="4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16">
    <xf numFmtId="0" fontId="0" fillId="0" borderId="0" xfId="0"/>
    <xf numFmtId="0" fontId="10" fillId="0" borderId="0" xfId="0" applyFont="1"/>
    <xf numFmtId="165" fontId="10" fillId="0" borderId="0" xfId="1" applyNumberFormat="1" applyFont="1"/>
    <xf numFmtId="166" fontId="9" fillId="2" borderId="1" xfId="0" applyNumberFormat="1" applyFont="1" applyFill="1" applyBorder="1"/>
    <xf numFmtId="167" fontId="9" fillId="2" borderId="2" xfId="1" applyNumberFormat="1" applyFont="1" applyFill="1" applyBorder="1"/>
    <xf numFmtId="166" fontId="9" fillId="2" borderId="3" xfId="0" applyNumberFormat="1" applyFont="1" applyFill="1" applyBorder="1"/>
    <xf numFmtId="165" fontId="9" fillId="2" borderId="4" xfId="1" applyNumberFormat="1" applyFont="1" applyFill="1" applyBorder="1" applyAlignment="1">
      <alignment horizontal="center"/>
    </xf>
    <xf numFmtId="165" fontId="9" fillId="2" borderId="5" xfId="1" applyNumberFormat="1" applyFont="1" applyFill="1" applyBorder="1" applyAlignment="1">
      <alignment horizontal="center"/>
    </xf>
    <xf numFmtId="165" fontId="9" fillId="2" borderId="6" xfId="1" applyNumberFormat="1" applyFont="1" applyFill="1" applyBorder="1" applyAlignment="1">
      <alignment horizontal="center"/>
    </xf>
    <xf numFmtId="167" fontId="10" fillId="0" borderId="7" xfId="1" applyNumberFormat="1" applyFont="1" applyBorder="1"/>
    <xf numFmtId="167" fontId="10" fillId="0" borderId="8" xfId="1" applyNumberFormat="1" applyFont="1" applyBorder="1"/>
    <xf numFmtId="167" fontId="10" fillId="0" borderId="9" xfId="1" applyNumberFormat="1" applyFont="1" applyBorder="1"/>
    <xf numFmtId="167" fontId="10" fillId="0" borderId="10" xfId="1" applyNumberFormat="1" applyFont="1" applyBorder="1"/>
    <xf numFmtId="167" fontId="10" fillId="0" borderId="11" xfId="1" applyNumberFormat="1" applyFont="1" applyBorder="1"/>
    <xf numFmtId="167" fontId="10" fillId="0" borderId="12" xfId="1" applyNumberFormat="1" applyFont="1" applyBorder="1"/>
    <xf numFmtId="167" fontId="9" fillId="2" borderId="13" xfId="1" applyNumberFormat="1" applyFont="1" applyFill="1" applyBorder="1"/>
    <xf numFmtId="167" fontId="9" fillId="2" borderId="14" xfId="1" applyNumberFormat="1" applyFont="1" applyFill="1" applyBorder="1"/>
    <xf numFmtId="167" fontId="9" fillId="2" borderId="15" xfId="1" applyNumberFormat="1" applyFont="1" applyFill="1" applyBorder="1"/>
    <xf numFmtId="165" fontId="9" fillId="2" borderId="16" xfId="1" applyNumberFormat="1" applyFont="1" applyFill="1" applyBorder="1" applyAlignment="1">
      <alignment horizontal="center"/>
    </xf>
    <xf numFmtId="167" fontId="10" fillId="0" borderId="8" xfId="0" applyNumberFormat="1" applyFont="1" applyBorder="1"/>
    <xf numFmtId="167" fontId="10" fillId="0" borderId="11" xfId="0" applyNumberFormat="1" applyFont="1" applyBorder="1"/>
    <xf numFmtId="166" fontId="10" fillId="0" borderId="17" xfId="2" applyNumberFormat="1" applyFont="1" applyBorder="1" applyAlignment="1">
      <alignment horizontal="center"/>
    </xf>
    <xf numFmtId="166" fontId="10" fillId="0" borderId="18" xfId="2" applyNumberFormat="1" applyFont="1" applyBorder="1" applyAlignment="1">
      <alignment horizontal="center"/>
    </xf>
    <xf numFmtId="166" fontId="9" fillId="2" borderId="19" xfId="2" applyNumberFormat="1" applyFont="1" applyFill="1" applyBorder="1" applyAlignment="1">
      <alignment horizontal="center"/>
    </xf>
    <xf numFmtId="167" fontId="9" fillId="3" borderId="20" xfId="1" applyNumberFormat="1" applyFont="1" applyFill="1" applyBorder="1"/>
    <xf numFmtId="0" fontId="9" fillId="3" borderId="21" xfId="0" applyFont="1" applyFill="1" applyBorder="1" applyAlignment="1">
      <alignment horizontal="center"/>
    </xf>
    <xf numFmtId="167" fontId="9" fillId="3" borderId="0" xfId="1" applyNumberFormat="1" applyFont="1" applyFill="1" applyBorder="1"/>
    <xf numFmtId="167" fontId="9" fillId="3" borderId="22" xfId="1" applyNumberFormat="1" applyFont="1" applyFill="1" applyBorder="1"/>
    <xf numFmtId="166" fontId="10" fillId="0" borderId="0" xfId="2" applyNumberFormat="1" applyFont="1" applyAlignment="1">
      <alignment horizontal="center"/>
    </xf>
    <xf numFmtId="0" fontId="9" fillId="3" borderId="23" xfId="0" applyFont="1" applyFill="1" applyBorder="1" applyAlignment="1">
      <alignment horizontal="center"/>
    </xf>
    <xf numFmtId="167" fontId="9" fillId="3" borderId="24" xfId="1" applyNumberFormat="1" applyFont="1" applyFill="1" applyBorder="1"/>
    <xf numFmtId="167" fontId="9" fillId="3" borderId="25" xfId="1" applyNumberFormat="1" applyFont="1" applyFill="1" applyBorder="1"/>
    <xf numFmtId="167" fontId="9" fillId="3" borderId="26" xfId="1" applyNumberFormat="1" applyFont="1" applyFill="1" applyBorder="1"/>
    <xf numFmtId="167" fontId="9" fillId="2" borderId="27" xfId="1" applyNumberFormat="1" applyFont="1" applyFill="1" applyBorder="1"/>
    <xf numFmtId="167" fontId="9" fillId="2" borderId="28" xfId="1" applyNumberFormat="1" applyFont="1" applyFill="1" applyBorder="1"/>
    <xf numFmtId="167" fontId="9" fillId="2" borderId="29" xfId="1" applyNumberFormat="1" applyFont="1" applyFill="1" applyBorder="1"/>
    <xf numFmtId="167" fontId="10" fillId="0" borderId="30" xfId="0" applyNumberFormat="1" applyFont="1" applyBorder="1"/>
    <xf numFmtId="166" fontId="9" fillId="0" borderId="31" xfId="0" applyNumberFormat="1" applyFont="1" applyFill="1" applyBorder="1"/>
    <xf numFmtId="0" fontId="9" fillId="0" borderId="32" xfId="0" applyFont="1" applyFill="1" applyBorder="1"/>
    <xf numFmtId="167" fontId="10" fillId="0" borderId="8" xfId="0" applyNumberFormat="1" applyFont="1" applyBorder="1" applyAlignment="1">
      <alignment horizontal="center"/>
    </xf>
    <xf numFmtId="166" fontId="9" fillId="0" borderId="3" xfId="0" applyNumberFormat="1" applyFont="1" applyFill="1" applyBorder="1"/>
    <xf numFmtId="167" fontId="10" fillId="0" borderId="5" xfId="1" applyNumberFormat="1" applyFont="1" applyBorder="1"/>
    <xf numFmtId="167" fontId="10" fillId="0" borderId="4" xfId="1" applyNumberFormat="1" applyFont="1" applyBorder="1"/>
    <xf numFmtId="167" fontId="10" fillId="0" borderId="6" xfId="1" applyNumberFormat="1" applyFont="1" applyBorder="1"/>
    <xf numFmtId="167" fontId="10" fillId="0" borderId="4" xfId="0" applyNumberFormat="1" applyFont="1" applyBorder="1"/>
    <xf numFmtId="166" fontId="10" fillId="0" borderId="16" xfId="2" applyNumberFormat="1" applyFont="1" applyBorder="1" applyAlignment="1">
      <alignment horizontal="center"/>
    </xf>
    <xf numFmtId="167" fontId="9" fillId="3" borderId="23" xfId="1" applyNumberFormat="1" applyFont="1" applyFill="1" applyBorder="1"/>
    <xf numFmtId="0" fontId="9" fillId="0" borderId="0" xfId="0" applyFont="1"/>
    <xf numFmtId="0" fontId="12" fillId="0" borderId="0" xfId="0" applyFont="1"/>
    <xf numFmtId="0" fontId="9" fillId="0" borderId="31" xfId="0" applyFont="1" applyBorder="1"/>
    <xf numFmtId="167" fontId="10" fillId="0" borderId="7" xfId="0" applyNumberFormat="1" applyFont="1" applyBorder="1"/>
    <xf numFmtId="167" fontId="10" fillId="0" borderId="9" xfId="0" applyNumberFormat="1" applyFont="1" applyBorder="1"/>
    <xf numFmtId="0" fontId="9" fillId="3" borderId="33" xfId="0" applyFont="1" applyFill="1" applyBorder="1" applyAlignment="1">
      <alignment horizontal="center"/>
    </xf>
    <xf numFmtId="0" fontId="9" fillId="0" borderId="32" xfId="0" applyFont="1" applyBorder="1"/>
    <xf numFmtId="167" fontId="10" fillId="0" borderId="10" xfId="0" applyNumberFormat="1" applyFont="1" applyBorder="1"/>
    <xf numFmtId="167" fontId="10" fillId="0" borderId="12" xfId="0" applyNumberFormat="1" applyFont="1" applyBorder="1"/>
    <xf numFmtId="0" fontId="9" fillId="4" borderId="1" xfId="0" applyFont="1" applyFill="1" applyBorder="1"/>
    <xf numFmtId="167" fontId="9" fillId="4" borderId="27" xfId="0" applyNumberFormat="1" applyFont="1" applyFill="1" applyBorder="1"/>
    <xf numFmtId="167" fontId="9" fillId="4" borderId="28" xfId="0" applyNumberFormat="1" applyFont="1" applyFill="1" applyBorder="1"/>
    <xf numFmtId="167" fontId="9" fillId="4" borderId="15" xfId="0" applyNumberFormat="1" applyFont="1" applyFill="1" applyBorder="1"/>
    <xf numFmtId="167" fontId="9" fillId="3" borderId="34" xfId="0" applyNumberFormat="1" applyFont="1" applyFill="1" applyBorder="1"/>
    <xf numFmtId="167" fontId="9" fillId="3" borderId="35" xfId="0" applyNumberFormat="1" applyFont="1" applyFill="1" applyBorder="1"/>
    <xf numFmtId="167" fontId="9" fillId="3" borderId="36" xfId="0" applyNumberFormat="1" applyFont="1" applyFill="1" applyBorder="1"/>
    <xf numFmtId="167" fontId="9" fillId="4" borderId="14" xfId="0" applyNumberFormat="1" applyFont="1" applyFill="1" applyBorder="1"/>
    <xf numFmtId="166" fontId="9" fillId="4" borderId="19" xfId="2" applyNumberFormat="1" applyFont="1" applyFill="1" applyBorder="1" applyAlignment="1">
      <alignment horizontal="center"/>
    </xf>
    <xf numFmtId="167" fontId="10" fillId="0" borderId="37" xfId="0" applyNumberFormat="1" applyFont="1" applyBorder="1"/>
    <xf numFmtId="167" fontId="10" fillId="0" borderId="38" xfId="0" applyNumberFormat="1" applyFont="1" applyBorder="1"/>
    <xf numFmtId="165" fontId="9" fillId="2" borderId="39" xfId="1" applyNumberFormat="1" applyFont="1" applyFill="1" applyBorder="1" applyAlignment="1">
      <alignment horizontal="center"/>
    </xf>
    <xf numFmtId="167" fontId="10" fillId="0" borderId="40" xfId="0" applyNumberFormat="1" applyFont="1" applyBorder="1"/>
    <xf numFmtId="167" fontId="10" fillId="0" borderId="41" xfId="0" applyNumberFormat="1" applyFont="1" applyBorder="1"/>
    <xf numFmtId="167" fontId="10" fillId="0" borderId="42" xfId="0" applyNumberFormat="1" applyFont="1" applyBorder="1"/>
    <xf numFmtId="167" fontId="9" fillId="4" borderId="43" xfId="0" applyNumberFormat="1" applyFont="1" applyFill="1" applyBorder="1"/>
    <xf numFmtId="165" fontId="9" fillId="2" borderId="44" xfId="1" applyNumberFormat="1" applyFont="1" applyFill="1" applyBorder="1" applyAlignment="1">
      <alignment horizontal="center"/>
    </xf>
    <xf numFmtId="0" fontId="10" fillId="0" borderId="0" xfId="0" applyFont="1" applyFill="1" applyBorder="1"/>
    <xf numFmtId="167" fontId="9" fillId="3" borderId="45" xfId="1" applyNumberFormat="1" applyFont="1" applyFill="1" applyBorder="1"/>
    <xf numFmtId="166" fontId="10" fillId="0" borderId="46" xfId="2" applyNumberFormat="1" applyFont="1" applyBorder="1" applyAlignment="1">
      <alignment horizontal="center"/>
    </xf>
    <xf numFmtId="167" fontId="9" fillId="3" borderId="47" xfId="1" applyNumberFormat="1" applyFont="1" applyFill="1" applyBorder="1"/>
    <xf numFmtId="166" fontId="10" fillId="0" borderId="48" xfId="2" applyNumberFormat="1" applyFont="1" applyBorder="1" applyAlignment="1">
      <alignment horizontal="center"/>
    </xf>
    <xf numFmtId="166" fontId="10" fillId="0" borderId="49" xfId="2" applyNumberFormat="1" applyFont="1" applyBorder="1" applyAlignment="1">
      <alignment horizontal="center"/>
    </xf>
    <xf numFmtId="166" fontId="9" fillId="2" borderId="50" xfId="2" applyNumberFormat="1" applyFont="1" applyFill="1" applyBorder="1" applyAlignment="1">
      <alignment horizontal="center"/>
    </xf>
    <xf numFmtId="167" fontId="10" fillId="0" borderId="28" xfId="0" applyNumberFormat="1" applyFont="1" applyBorder="1"/>
    <xf numFmtId="167" fontId="9" fillId="3" borderId="51" xfId="0" applyNumberFormat="1" applyFont="1" applyFill="1" applyBorder="1"/>
    <xf numFmtId="167" fontId="9" fillId="3" borderId="52" xfId="0" applyNumberFormat="1" applyFont="1" applyFill="1" applyBorder="1"/>
    <xf numFmtId="167" fontId="9" fillId="3" borderId="53" xfId="0" applyNumberFormat="1" applyFont="1" applyFill="1" applyBorder="1"/>
    <xf numFmtId="166" fontId="10" fillId="0" borderId="0" xfId="2" applyNumberFormat="1" applyFont="1" applyBorder="1" applyAlignment="1">
      <alignment horizontal="center"/>
    </xf>
    <xf numFmtId="166" fontId="10" fillId="0" borderId="22" xfId="2" applyNumberFormat="1" applyFont="1" applyBorder="1" applyAlignment="1">
      <alignment horizontal="center"/>
    </xf>
    <xf numFmtId="166" fontId="9" fillId="4" borderId="2" xfId="2" applyNumberFormat="1" applyFont="1" applyFill="1" applyBorder="1" applyAlignment="1">
      <alignment horizontal="center"/>
    </xf>
    <xf numFmtId="165" fontId="9" fillId="2" borderId="54" xfId="1" applyNumberFormat="1" applyFont="1" applyFill="1" applyBorder="1" applyAlignment="1">
      <alignment horizontal="center"/>
    </xf>
    <xf numFmtId="167" fontId="10" fillId="0" borderId="55" xfId="0" applyNumberFormat="1" applyFont="1" applyBorder="1"/>
    <xf numFmtId="166" fontId="9" fillId="4" borderId="50" xfId="2" applyNumberFormat="1" applyFont="1" applyFill="1" applyBorder="1" applyAlignment="1">
      <alignment horizontal="center"/>
    </xf>
    <xf numFmtId="167" fontId="10" fillId="4" borderId="28" xfId="0" applyNumberFormat="1" applyFont="1" applyFill="1" applyBorder="1"/>
    <xf numFmtId="165" fontId="9" fillId="2" borderId="30" xfId="1" applyNumberFormat="1" applyFont="1" applyFill="1" applyBorder="1" applyAlignment="1">
      <alignment horizontal="center"/>
    </xf>
    <xf numFmtId="0" fontId="9" fillId="0" borderId="56" xfId="0" applyFont="1" applyBorder="1"/>
    <xf numFmtId="0" fontId="9" fillId="0" borderId="57" xfId="0" applyFont="1" applyBorder="1"/>
    <xf numFmtId="0" fontId="9" fillId="4" borderId="58" xfId="0" applyFont="1" applyFill="1" applyBorder="1"/>
    <xf numFmtId="166" fontId="9" fillId="2" borderId="59" xfId="0" applyNumberFormat="1" applyFont="1" applyFill="1" applyBorder="1"/>
    <xf numFmtId="167" fontId="10" fillId="0" borderId="14" xfId="0" applyNumberFormat="1" applyFont="1" applyBorder="1"/>
    <xf numFmtId="0" fontId="9" fillId="3" borderId="45" xfId="0" applyFont="1" applyFill="1" applyBorder="1" applyAlignment="1">
      <alignment horizontal="center"/>
    </xf>
    <xf numFmtId="165" fontId="9" fillId="2" borderId="21" xfId="1" applyNumberFormat="1" applyFont="1" applyFill="1" applyBorder="1" applyAlignment="1">
      <alignment horizontal="center"/>
    </xf>
    <xf numFmtId="167" fontId="10" fillId="0" borderId="61" xfId="0" applyNumberFormat="1" applyFont="1" applyBorder="1"/>
    <xf numFmtId="167" fontId="0" fillId="0" borderId="0" xfId="0" applyNumberFormat="1"/>
    <xf numFmtId="167" fontId="9" fillId="3" borderId="60" xfId="1" applyNumberFormat="1" applyFont="1" applyFill="1" applyBorder="1"/>
    <xf numFmtId="167" fontId="9" fillId="3" borderId="61" xfId="1" applyNumberFormat="1" applyFont="1" applyFill="1" applyBorder="1"/>
    <xf numFmtId="167" fontId="9" fillId="3" borderId="62" xfId="1" applyNumberFormat="1" applyFont="1" applyFill="1" applyBorder="1"/>
    <xf numFmtId="167" fontId="10" fillId="0" borderId="63" xfId="0" applyNumberFormat="1" applyFont="1" applyBorder="1"/>
    <xf numFmtId="166" fontId="10" fillId="0" borderId="64" xfId="2" applyNumberFormat="1" applyFont="1" applyBorder="1" applyAlignment="1">
      <alignment horizontal="center"/>
    </xf>
    <xf numFmtId="167" fontId="9" fillId="3" borderId="65" xfId="0" applyNumberFormat="1" applyFont="1" applyFill="1" applyBorder="1"/>
    <xf numFmtId="167" fontId="9" fillId="3" borderId="34" xfId="1" applyNumberFormat="1" applyFont="1" applyFill="1" applyBorder="1"/>
    <xf numFmtId="168" fontId="10" fillId="0" borderId="8" xfId="0" applyNumberFormat="1" applyFont="1" applyFill="1" applyBorder="1"/>
    <xf numFmtId="167" fontId="9" fillId="3" borderId="65" xfId="1" applyNumberFormat="1" applyFont="1" applyFill="1" applyBorder="1"/>
    <xf numFmtId="167" fontId="9" fillId="3" borderId="35" xfId="1" applyNumberFormat="1" applyFont="1" applyFill="1" applyBorder="1"/>
    <xf numFmtId="167" fontId="10" fillId="0" borderId="8" xfId="0" applyNumberFormat="1" applyFont="1" applyFill="1" applyBorder="1"/>
    <xf numFmtId="167" fontId="9" fillId="3" borderId="28" xfId="0" applyNumberFormat="1" applyFont="1" applyFill="1" applyBorder="1"/>
    <xf numFmtId="166" fontId="9" fillId="3" borderId="50" xfId="2" applyNumberFormat="1" applyFont="1" applyFill="1" applyBorder="1" applyAlignment="1">
      <alignment horizontal="center"/>
    </xf>
    <xf numFmtId="167" fontId="9" fillId="3" borderId="4" xfId="0" applyNumberFormat="1" applyFont="1" applyFill="1" applyBorder="1"/>
    <xf numFmtId="166" fontId="9" fillId="3" borderId="16" xfId="2" applyNumberFormat="1" applyFont="1" applyFill="1" applyBorder="1" applyAlignment="1">
      <alignment horizontal="center"/>
    </xf>
    <xf numFmtId="167" fontId="13" fillId="0" borderId="0" xfId="0" applyNumberFormat="1" applyFont="1"/>
    <xf numFmtId="168" fontId="0" fillId="0" borderId="0" xfId="0" applyNumberFormat="1"/>
    <xf numFmtId="10" fontId="0" fillId="0" borderId="0" xfId="0" applyNumberFormat="1"/>
    <xf numFmtId="167" fontId="10" fillId="0" borderId="9" xfId="0" applyNumberFormat="1" applyFont="1" applyFill="1" applyBorder="1"/>
    <xf numFmtId="167" fontId="10" fillId="0" borderId="7" xfId="0" applyNumberFormat="1" applyFont="1" applyFill="1" applyBorder="1"/>
    <xf numFmtId="166" fontId="0" fillId="0" borderId="0" xfId="0" applyNumberFormat="1"/>
    <xf numFmtId="167" fontId="10" fillId="0" borderId="61" xfId="1" applyNumberFormat="1" applyFont="1" applyBorder="1"/>
    <xf numFmtId="167" fontId="10" fillId="0" borderId="62" xfId="1" applyNumberFormat="1" applyFont="1" applyBorder="1"/>
    <xf numFmtId="167" fontId="10" fillId="0" borderId="30" xfId="1" applyNumberFormat="1" applyFont="1" applyBorder="1"/>
    <xf numFmtId="0" fontId="9" fillId="5" borderId="1" xfId="0" applyFont="1" applyFill="1" applyBorder="1"/>
    <xf numFmtId="167" fontId="9" fillId="5" borderId="27" xfId="0" applyNumberFormat="1" applyFont="1" applyFill="1" applyBorder="1"/>
    <xf numFmtId="167" fontId="9" fillId="5" borderId="28" xfId="0" applyNumberFormat="1" applyFont="1" applyFill="1" applyBorder="1"/>
    <xf numFmtId="167" fontId="9" fillId="5" borderId="15" xfId="0" applyNumberFormat="1" applyFont="1" applyFill="1" applyBorder="1"/>
    <xf numFmtId="166" fontId="9" fillId="5" borderId="3" xfId="0" applyNumberFormat="1" applyFont="1" applyFill="1" applyBorder="1"/>
    <xf numFmtId="165" fontId="9" fillId="5" borderId="5" xfId="1" applyNumberFormat="1" applyFont="1" applyFill="1" applyBorder="1" applyAlignment="1">
      <alignment horizontal="center"/>
    </xf>
    <xf numFmtId="165" fontId="9" fillId="5" borderId="4" xfId="1" applyNumberFormat="1" applyFont="1" applyFill="1" applyBorder="1" applyAlignment="1">
      <alignment horizontal="center"/>
    </xf>
    <xf numFmtId="165" fontId="9" fillId="5" borderId="6" xfId="1" applyNumberFormat="1" applyFont="1" applyFill="1" applyBorder="1" applyAlignment="1">
      <alignment horizontal="center"/>
    </xf>
    <xf numFmtId="0" fontId="9" fillId="5" borderId="33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165" fontId="9" fillId="5" borderId="16" xfId="1" applyNumberFormat="1" applyFont="1" applyFill="1" applyBorder="1" applyAlignment="1">
      <alignment horizontal="center"/>
    </xf>
    <xf numFmtId="166" fontId="9" fillId="5" borderId="3" xfId="0" applyNumberFormat="1" applyFont="1" applyFill="1" applyBorder="1" applyAlignment="1">
      <alignment horizontal="center"/>
    </xf>
    <xf numFmtId="166" fontId="9" fillId="5" borderId="1" xfId="0" applyNumberFormat="1" applyFont="1" applyFill="1" applyBorder="1"/>
    <xf numFmtId="167" fontId="9" fillId="5" borderId="27" xfId="1" applyNumberFormat="1" applyFont="1" applyFill="1" applyBorder="1"/>
    <xf numFmtId="167" fontId="9" fillId="5" borderId="28" xfId="1" applyNumberFormat="1" applyFont="1" applyFill="1" applyBorder="1"/>
    <xf numFmtId="167" fontId="9" fillId="5" borderId="29" xfId="1" applyNumberFormat="1" applyFont="1" applyFill="1" applyBorder="1"/>
    <xf numFmtId="167" fontId="9" fillId="5" borderId="4" xfId="0" applyNumberFormat="1" applyFont="1" applyFill="1" applyBorder="1"/>
    <xf numFmtId="166" fontId="9" fillId="0" borderId="1" xfId="0" applyNumberFormat="1" applyFont="1" applyFill="1" applyBorder="1"/>
    <xf numFmtId="0" fontId="0" fillId="0" borderId="66" xfId="0" applyBorder="1"/>
    <xf numFmtId="167" fontId="10" fillId="0" borderId="8" xfId="1" applyNumberFormat="1" applyFont="1" applyBorder="1" applyAlignment="1">
      <alignment horizontal="center"/>
    </xf>
    <xf numFmtId="0" fontId="13" fillId="0" borderId="0" xfId="0" quotePrefix="1" applyFont="1"/>
    <xf numFmtId="167" fontId="10" fillId="0" borderId="0" xfId="0" applyNumberFormat="1" applyFont="1" applyFill="1"/>
    <xf numFmtId="0" fontId="9" fillId="0" borderId="31" xfId="0" applyFont="1" applyFill="1" applyBorder="1"/>
    <xf numFmtId="167" fontId="10" fillId="6" borderId="8" xfId="0" applyNumberFormat="1" applyFont="1" applyFill="1" applyBorder="1"/>
    <xf numFmtId="167" fontId="10" fillId="6" borderId="9" xfId="0" applyNumberFormat="1" applyFont="1" applyFill="1" applyBorder="1"/>
    <xf numFmtId="167" fontId="9" fillId="3" borderId="0" xfId="0" applyNumberFormat="1" applyFont="1" applyFill="1" applyBorder="1"/>
    <xf numFmtId="0" fontId="9" fillId="0" borderId="56" xfId="0" applyFont="1" applyFill="1" applyBorder="1"/>
    <xf numFmtId="166" fontId="10" fillId="0" borderId="0" xfId="2" applyNumberFormat="1" applyFont="1" applyFill="1" applyBorder="1" applyAlignment="1">
      <alignment horizontal="center"/>
    </xf>
    <xf numFmtId="166" fontId="10" fillId="0" borderId="18" xfId="2" applyNumberFormat="1" applyFont="1" applyFill="1" applyBorder="1" applyAlignment="1">
      <alignment horizontal="center"/>
    </xf>
    <xf numFmtId="0" fontId="0" fillId="0" borderId="0" xfId="0" applyFill="1"/>
    <xf numFmtId="166" fontId="9" fillId="0" borderId="59" xfId="0" applyNumberFormat="1" applyFont="1" applyFill="1" applyBorder="1"/>
    <xf numFmtId="165" fontId="9" fillId="0" borderId="4" xfId="1" applyNumberFormat="1" applyFont="1" applyFill="1" applyBorder="1" applyAlignment="1">
      <alignment horizontal="center"/>
    </xf>
    <xf numFmtId="165" fontId="9" fillId="0" borderId="39" xfId="1" applyNumberFormat="1" applyFont="1" applyFill="1" applyBorder="1" applyAlignment="1">
      <alignment horizontal="center"/>
    </xf>
    <xf numFmtId="165" fontId="9" fillId="0" borderId="6" xfId="1" applyNumberFormat="1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165" fontId="9" fillId="0" borderId="21" xfId="1" applyNumberFormat="1" applyFont="1" applyFill="1" applyBorder="1" applyAlignment="1">
      <alignment horizontal="center"/>
    </xf>
    <xf numFmtId="165" fontId="9" fillId="0" borderId="16" xfId="1" applyNumberFormat="1" applyFont="1" applyFill="1" applyBorder="1" applyAlignment="1">
      <alignment horizontal="center"/>
    </xf>
    <xf numFmtId="0" fontId="9" fillId="0" borderId="58" xfId="0" applyFont="1" applyFill="1" applyBorder="1"/>
    <xf numFmtId="167" fontId="9" fillId="0" borderId="28" xfId="0" applyNumberFormat="1" applyFont="1" applyFill="1" applyBorder="1"/>
    <xf numFmtId="167" fontId="9" fillId="0" borderId="43" xfId="0" applyNumberFormat="1" applyFont="1" applyFill="1" applyBorder="1"/>
    <xf numFmtId="167" fontId="9" fillId="0" borderId="14" xfId="0" applyNumberFormat="1" applyFont="1" applyFill="1" applyBorder="1"/>
    <xf numFmtId="167" fontId="9" fillId="0" borderId="15" xfId="0" applyNumberFormat="1" applyFont="1" applyFill="1" applyBorder="1"/>
    <xf numFmtId="167" fontId="9" fillId="0" borderId="53" xfId="0" applyNumberFormat="1" applyFont="1" applyFill="1" applyBorder="1"/>
    <xf numFmtId="167" fontId="10" fillId="0" borderId="28" xfId="0" applyNumberFormat="1" applyFont="1" applyFill="1" applyBorder="1"/>
    <xf numFmtId="166" fontId="9" fillId="0" borderId="2" xfId="2" applyNumberFormat="1" applyFont="1" applyFill="1" applyBorder="1" applyAlignment="1">
      <alignment horizontal="center"/>
    </xf>
    <xf numFmtId="166" fontId="9" fillId="0" borderId="19" xfId="2" applyNumberFormat="1" applyFont="1" applyFill="1" applyBorder="1" applyAlignment="1">
      <alignment horizontal="center"/>
    </xf>
    <xf numFmtId="165" fontId="9" fillId="0" borderId="5" xfId="1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66" fontId="9" fillId="0" borderId="3" xfId="0" applyNumberFormat="1" applyFont="1" applyFill="1" applyBorder="1" applyAlignment="1">
      <alignment horizontal="center"/>
    </xf>
    <xf numFmtId="167" fontId="9" fillId="0" borderId="27" xfId="1" applyNumberFormat="1" applyFont="1" applyFill="1" applyBorder="1"/>
    <xf numFmtId="167" fontId="9" fillId="0" borderId="28" xfId="1" applyNumberFormat="1" applyFont="1" applyFill="1" applyBorder="1"/>
    <xf numFmtId="167" fontId="9" fillId="0" borderId="29" xfId="1" applyNumberFormat="1" applyFont="1" applyFill="1" applyBorder="1"/>
    <xf numFmtId="167" fontId="9" fillId="0" borderId="20" xfId="1" applyNumberFormat="1" applyFont="1" applyFill="1" applyBorder="1"/>
    <xf numFmtId="166" fontId="9" fillId="0" borderId="50" xfId="2" applyNumberFormat="1" applyFont="1" applyFill="1" applyBorder="1" applyAlignment="1">
      <alignment horizontal="center"/>
    </xf>
    <xf numFmtId="167" fontId="9" fillId="0" borderId="47" xfId="1" applyNumberFormat="1" applyFont="1" applyFill="1" applyBorder="1"/>
    <xf numFmtId="0" fontId="9" fillId="0" borderId="3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" xfId="0" applyFont="1" applyFill="1" applyBorder="1"/>
    <xf numFmtId="167" fontId="9" fillId="0" borderId="27" xfId="0" applyNumberFormat="1" applyFont="1" applyFill="1" applyBorder="1"/>
    <xf numFmtId="167" fontId="9" fillId="0" borderId="36" xfId="0" applyNumberFormat="1" applyFont="1" applyFill="1" applyBorder="1"/>
    <xf numFmtId="167" fontId="10" fillId="0" borderId="8" xfId="1" applyNumberFormat="1" applyFont="1" applyFill="1" applyBorder="1"/>
    <xf numFmtId="168" fontId="13" fillId="0" borderId="0" xfId="0" applyNumberFormat="1" applyFont="1"/>
    <xf numFmtId="167" fontId="10" fillId="5" borderId="5" xfId="0" applyNumberFormat="1" applyFont="1" applyFill="1" applyBorder="1"/>
    <xf numFmtId="0" fontId="15" fillId="0" borderId="0" xfId="0" applyFont="1"/>
    <xf numFmtId="0" fontId="14" fillId="0" borderId="0" xfId="0" applyFont="1" applyFill="1" applyBorder="1"/>
    <xf numFmtId="167" fontId="10" fillId="0" borderId="0" xfId="0" applyNumberFormat="1" applyFont="1" applyFill="1" applyBorder="1"/>
    <xf numFmtId="167" fontId="10" fillId="0" borderId="8" xfId="1" applyNumberFormat="1" applyFont="1" applyBorder="1" applyAlignment="1">
      <alignment horizontal="right"/>
    </xf>
    <xf numFmtId="0" fontId="13" fillId="0" borderId="0" xfId="0" applyFont="1"/>
    <xf numFmtId="4" fontId="13" fillId="0" borderId="0" xfId="0" applyNumberFormat="1" applyFont="1"/>
    <xf numFmtId="4" fontId="0" fillId="0" borderId="0" xfId="0" applyNumberFormat="1"/>
    <xf numFmtId="166" fontId="13" fillId="0" borderId="0" xfId="2" applyNumberFormat="1" applyFont="1"/>
    <xf numFmtId="166" fontId="0" fillId="0" borderId="0" xfId="2" applyNumberFormat="1" applyFont="1"/>
    <xf numFmtId="167" fontId="10" fillId="0" borderId="61" xfId="1" applyNumberFormat="1" applyFont="1" applyFill="1" applyBorder="1"/>
    <xf numFmtId="167" fontId="9" fillId="8" borderId="34" xfId="1" applyNumberFormat="1" applyFont="1" applyFill="1" applyBorder="1"/>
    <xf numFmtId="167" fontId="10" fillId="0" borderId="7" xfId="1" applyNumberFormat="1" applyFont="1" applyFill="1" applyBorder="1"/>
    <xf numFmtId="167" fontId="10" fillId="0" borderId="9" xfId="1" applyNumberFormat="1" applyFont="1" applyFill="1" applyBorder="1"/>
    <xf numFmtId="166" fontId="10" fillId="0" borderId="48" xfId="2" applyNumberFormat="1" applyFont="1" applyFill="1" applyBorder="1" applyAlignment="1">
      <alignment horizontal="center"/>
    </xf>
    <xf numFmtId="10" fontId="0" fillId="0" borderId="0" xfId="2" applyNumberFormat="1" applyFont="1"/>
    <xf numFmtId="167" fontId="9" fillId="8" borderId="34" xfId="0" applyNumberFormat="1" applyFont="1" applyFill="1" applyBorder="1"/>
    <xf numFmtId="0" fontId="9" fillId="8" borderId="33" xfId="0" applyFont="1" applyFill="1" applyBorder="1" applyAlignment="1">
      <alignment horizontal="center"/>
    </xf>
    <xf numFmtId="167" fontId="9" fillId="8" borderId="65" xfId="0" applyNumberFormat="1" applyFont="1" applyFill="1" applyBorder="1"/>
    <xf numFmtId="167" fontId="9" fillId="8" borderId="35" xfId="0" applyNumberFormat="1" applyFont="1" applyFill="1" applyBorder="1"/>
    <xf numFmtId="167" fontId="9" fillId="8" borderId="36" xfId="0" applyNumberFormat="1" applyFont="1" applyFill="1" applyBorder="1"/>
    <xf numFmtId="0" fontId="0" fillId="0" borderId="0" xfId="0" applyBorder="1"/>
    <xf numFmtId="168" fontId="13" fillId="0" borderId="0" xfId="0" applyNumberFormat="1" applyFont="1" applyBorder="1"/>
    <xf numFmtId="0" fontId="9" fillId="0" borderId="0" xfId="0" applyFont="1" applyFill="1" applyBorder="1"/>
    <xf numFmtId="167" fontId="10" fillId="0" borderId="67" xfId="0" applyNumberFormat="1" applyFont="1" applyFill="1" applyBorder="1"/>
    <xf numFmtId="0" fontId="10" fillId="0" borderId="0" xfId="0" applyFont="1" applyBorder="1"/>
    <xf numFmtId="167" fontId="10" fillId="0" borderId="0" xfId="0" applyNumberFormat="1" applyFont="1" applyBorder="1"/>
    <xf numFmtId="166" fontId="10" fillId="0" borderId="0" xfId="2" applyNumberFormat="1" applyFont="1" applyBorder="1"/>
    <xf numFmtId="167" fontId="10" fillId="0" borderId="0" xfId="0" applyNumberFormat="1" applyFont="1" applyFill="1" applyBorder="1" applyAlignment="1">
      <alignment horizontal="right"/>
    </xf>
    <xf numFmtId="167" fontId="10" fillId="0" borderId="67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169" fontId="0" fillId="0" borderId="0" xfId="0" applyNumberFormat="1"/>
    <xf numFmtId="170" fontId="0" fillId="0" borderId="0" xfId="3" applyNumberFormat="1" applyFont="1"/>
    <xf numFmtId="167" fontId="10" fillId="0" borderId="11" xfId="0" applyNumberFormat="1" applyFont="1" applyFill="1" applyBorder="1"/>
    <xf numFmtId="167" fontId="17" fillId="0" borderId="0" xfId="0" applyNumberFormat="1" applyFont="1"/>
    <xf numFmtId="0" fontId="8" fillId="0" borderId="0" xfId="0" applyFont="1"/>
    <xf numFmtId="167" fontId="18" fillId="0" borderId="0" xfId="0" quotePrefix="1" applyNumberFormat="1" applyFont="1" applyAlignment="1">
      <alignment horizontal="center"/>
    </xf>
    <xf numFmtId="167" fontId="0" fillId="0" borderId="0" xfId="0" applyNumberFormat="1" applyBorder="1"/>
    <xf numFmtId="167" fontId="10" fillId="0" borderId="0" xfId="2" applyNumberFormat="1" applyFont="1" applyAlignment="1">
      <alignment horizontal="center"/>
    </xf>
    <xf numFmtId="166" fontId="10" fillId="0" borderId="11" xfId="2" applyNumberFormat="1" applyFont="1" applyBorder="1" applyAlignment="1">
      <alignment horizontal="center"/>
    </xf>
    <xf numFmtId="170" fontId="0" fillId="0" borderId="0" xfId="0" applyNumberFormat="1"/>
    <xf numFmtId="0" fontId="0" fillId="0" borderId="0" xfId="0" applyFill="1" applyBorder="1"/>
    <xf numFmtId="166" fontId="9" fillId="0" borderId="0" xfId="2" applyNumberFormat="1" applyFont="1" applyFill="1" applyBorder="1" applyAlignment="1">
      <alignment horizontal="center"/>
    </xf>
    <xf numFmtId="167" fontId="10" fillId="0" borderId="41" xfId="0" applyNumberFormat="1" applyFont="1" applyFill="1" applyBorder="1"/>
    <xf numFmtId="0" fontId="9" fillId="0" borderId="30" xfId="0" applyFont="1" applyBorder="1"/>
    <xf numFmtId="0" fontId="9" fillId="0" borderId="8" xfId="0" applyFont="1" applyBorder="1"/>
    <xf numFmtId="0" fontId="9" fillId="0" borderId="8" xfId="0" applyFont="1" applyFill="1" applyBorder="1"/>
    <xf numFmtId="0" fontId="9" fillId="0" borderId="11" xfId="0" applyFont="1" applyBorder="1"/>
    <xf numFmtId="3" fontId="10" fillId="0" borderId="0" xfId="2" applyNumberFormat="1" applyFont="1" applyAlignment="1">
      <alignment horizontal="center"/>
    </xf>
    <xf numFmtId="3" fontId="0" fillId="0" borderId="0" xfId="0" applyNumberFormat="1"/>
    <xf numFmtId="3" fontId="13" fillId="0" borderId="0" xfId="0" applyNumberFormat="1" applyFont="1"/>
    <xf numFmtId="0" fontId="0" fillId="0" borderId="67" xfId="0" applyBorder="1"/>
    <xf numFmtId="44" fontId="9" fillId="5" borderId="4" xfId="4" applyFont="1" applyFill="1" applyBorder="1" applyAlignment="1">
      <alignment horizontal="center"/>
    </xf>
    <xf numFmtId="44" fontId="9" fillId="5" borderId="44" xfId="4" applyFont="1" applyFill="1" applyBorder="1" applyAlignment="1">
      <alignment horizontal="center"/>
    </xf>
    <xf numFmtId="44" fontId="10" fillId="0" borderId="7" xfId="4" applyFont="1" applyFill="1" applyBorder="1"/>
    <xf numFmtId="3" fontId="14" fillId="0" borderId="0" xfId="0" applyNumberFormat="1" applyFont="1"/>
    <xf numFmtId="3" fontId="10" fillId="0" borderId="0" xfId="0" applyNumberFormat="1" applyFont="1"/>
    <xf numFmtId="3" fontId="12" fillId="0" borderId="0" xfId="0" applyNumberFormat="1" applyFont="1"/>
    <xf numFmtId="168" fontId="12" fillId="0" borderId="0" xfId="0" applyNumberFormat="1" applyFont="1"/>
    <xf numFmtId="0" fontId="10" fillId="0" borderId="0" xfId="0" applyFont="1" applyBorder="1" applyAlignment="1">
      <alignment horizontal="right"/>
    </xf>
    <xf numFmtId="0" fontId="10" fillId="0" borderId="0" xfId="0" quotePrefix="1" applyFont="1" applyAlignment="1">
      <alignment horizontal="left"/>
    </xf>
    <xf numFmtId="10" fontId="9" fillId="0" borderId="0" xfId="2" applyNumberFormat="1" applyFont="1" applyFill="1" applyBorder="1" applyAlignment="1">
      <alignment horizontal="center"/>
    </xf>
    <xf numFmtId="170" fontId="0" fillId="0" borderId="0" xfId="5" applyNumberFormat="1" applyFont="1"/>
    <xf numFmtId="0" fontId="9" fillId="5" borderId="5" xfId="0" applyFont="1" applyFill="1" applyBorder="1"/>
    <xf numFmtId="0" fontId="9" fillId="5" borderId="4" xfId="0" applyFont="1" applyFill="1" applyBorder="1" applyAlignment="1">
      <alignment horizontal="center"/>
    </xf>
    <xf numFmtId="0" fontId="9" fillId="5" borderId="44" xfId="0" applyFont="1" applyFill="1" applyBorder="1" applyAlignment="1">
      <alignment horizontal="center"/>
    </xf>
    <xf numFmtId="0" fontId="9" fillId="5" borderId="16" xfId="0" applyFont="1" applyFill="1" applyBorder="1"/>
    <xf numFmtId="0" fontId="0" fillId="0" borderId="7" xfId="0" applyBorder="1"/>
    <xf numFmtId="0" fontId="9" fillId="9" borderId="7" xfId="0" applyFont="1" applyFill="1" applyBorder="1"/>
    <xf numFmtId="0" fontId="9" fillId="9" borderId="8" xfId="0" applyFont="1" applyFill="1" applyBorder="1" applyAlignment="1">
      <alignment horizontal="center"/>
    </xf>
    <xf numFmtId="0" fontId="9" fillId="9" borderId="61" xfId="0" applyFont="1" applyFill="1" applyBorder="1" applyAlignment="1">
      <alignment horizontal="center"/>
    </xf>
    <xf numFmtId="0" fontId="9" fillId="9" borderId="34" xfId="0" applyFont="1" applyFill="1" applyBorder="1" applyAlignment="1">
      <alignment horizontal="center"/>
    </xf>
    <xf numFmtId="0" fontId="9" fillId="9" borderId="18" xfId="0" applyFont="1" applyFill="1" applyBorder="1"/>
    <xf numFmtId="0" fontId="0" fillId="0" borderId="7" xfId="0" applyFill="1" applyBorder="1"/>
    <xf numFmtId="0" fontId="10" fillId="0" borderId="7" xfId="0" applyFont="1" applyFill="1" applyBorder="1"/>
    <xf numFmtId="167" fontId="10" fillId="0" borderId="8" xfId="0" applyNumberFormat="1" applyFont="1" applyFill="1" applyBorder="1" applyAlignment="1">
      <alignment horizontal="right"/>
    </xf>
    <xf numFmtId="167" fontId="10" fillId="0" borderId="61" xfId="0" applyNumberFormat="1" applyFont="1" applyFill="1" applyBorder="1" applyAlignment="1">
      <alignment horizontal="right"/>
    </xf>
    <xf numFmtId="167" fontId="10" fillId="0" borderId="8" xfId="0" applyNumberFormat="1" applyFont="1" applyBorder="1" applyAlignment="1">
      <alignment horizontal="right"/>
    </xf>
    <xf numFmtId="6" fontId="10" fillId="0" borderId="8" xfId="0" applyNumberFormat="1" applyFont="1" applyFill="1" applyBorder="1" applyAlignment="1">
      <alignment horizontal="right"/>
    </xf>
    <xf numFmtId="167" fontId="10" fillId="0" borderId="8" xfId="0" quotePrefix="1" applyNumberFormat="1" applyFont="1" applyFill="1" applyBorder="1" applyAlignment="1">
      <alignment horizontal="right"/>
    </xf>
    <xf numFmtId="0" fontId="10" fillId="0" borderId="7" xfId="0" applyFont="1" applyBorder="1"/>
    <xf numFmtId="167" fontId="10" fillId="0" borderId="8" xfId="0" quotePrefix="1" applyNumberFormat="1" applyFont="1" applyBorder="1" applyAlignment="1">
      <alignment horizontal="center"/>
    </xf>
    <xf numFmtId="167" fontId="10" fillId="10" borderId="8" xfId="0" applyNumberFormat="1" applyFont="1" applyFill="1" applyBorder="1"/>
    <xf numFmtId="166" fontId="10" fillId="10" borderId="18" xfId="2" applyNumberFormat="1" applyFont="1" applyFill="1" applyBorder="1" applyAlignment="1">
      <alignment horizontal="center"/>
    </xf>
    <xf numFmtId="168" fontId="10" fillId="0" borderId="8" xfId="0" applyNumberFormat="1" applyFont="1" applyFill="1" applyBorder="1" applyAlignment="1">
      <alignment horizontal="right"/>
    </xf>
    <xf numFmtId="0" fontId="9" fillId="5" borderId="13" xfId="0" applyFont="1" applyFill="1" applyBorder="1"/>
    <xf numFmtId="167" fontId="9" fillId="5" borderId="14" xfId="0" applyNumberFormat="1" applyFont="1" applyFill="1" applyBorder="1"/>
    <xf numFmtId="166" fontId="9" fillId="3" borderId="19" xfId="2" applyNumberFormat="1" applyFont="1" applyFill="1" applyBorder="1" applyAlignment="1">
      <alignment horizontal="center"/>
    </xf>
    <xf numFmtId="0" fontId="9" fillId="0" borderId="13" xfId="0" applyFont="1" applyBorder="1"/>
    <xf numFmtId="0" fontId="14" fillId="0" borderId="0" xfId="0" applyFont="1" applyAlignment="1">
      <alignment horizontal="right"/>
    </xf>
    <xf numFmtId="10" fontId="14" fillId="0" borderId="0" xfId="2" applyNumberFormat="1" applyFont="1" applyAlignment="1">
      <alignment horizontal="center"/>
    </xf>
    <xf numFmtId="0" fontId="10" fillId="0" borderId="68" xfId="0" applyFont="1" applyFill="1" applyBorder="1"/>
    <xf numFmtId="10" fontId="9" fillId="3" borderId="19" xfId="2" applyNumberFormat="1" applyFont="1" applyFill="1" applyBorder="1" applyAlignment="1">
      <alignment horizontal="center"/>
    </xf>
    <xf numFmtId="0" fontId="14" fillId="0" borderId="0" xfId="0" applyFont="1"/>
    <xf numFmtId="0" fontId="10" fillId="0" borderId="7" xfId="0" applyFont="1" applyBorder="1" applyAlignment="1">
      <alignment horizontal="right"/>
    </xf>
    <xf numFmtId="0" fontId="10" fillId="11" borderId="7" xfId="0" applyFont="1" applyFill="1" applyBorder="1"/>
    <xf numFmtId="0" fontId="10" fillId="12" borderId="7" xfId="0" applyFont="1" applyFill="1" applyBorder="1"/>
    <xf numFmtId="0" fontId="10" fillId="12" borderId="13" xfId="0" applyFont="1" applyFill="1" applyBorder="1"/>
    <xf numFmtId="0" fontId="10" fillId="11" borderId="13" xfId="0" applyFont="1" applyFill="1" applyBorder="1"/>
    <xf numFmtId="167" fontId="9" fillId="3" borderId="14" xfId="0" applyNumberFormat="1" applyFont="1" applyFill="1" applyBorder="1"/>
    <xf numFmtId="0" fontId="10" fillId="0" borderId="0" xfId="0" quotePrefix="1" applyFont="1"/>
    <xf numFmtId="8" fontId="10" fillId="0" borderId="8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right"/>
    </xf>
    <xf numFmtId="0" fontId="10" fillId="0" borderId="61" xfId="0" applyFont="1" applyFill="1" applyBorder="1" applyAlignment="1">
      <alignment horizontal="center"/>
    </xf>
    <xf numFmtId="6" fontId="10" fillId="0" borderId="8" xfId="0" applyNumberFormat="1" applyFont="1" applyFill="1" applyBorder="1"/>
    <xf numFmtId="167" fontId="10" fillId="0" borderId="61" xfId="0" applyNumberFormat="1" applyFont="1" applyFill="1" applyBorder="1"/>
    <xf numFmtId="168" fontId="10" fillId="0" borderId="9" xfId="0" applyNumberFormat="1" applyFont="1" applyFill="1" applyBorder="1"/>
    <xf numFmtId="0" fontId="10" fillId="0" borderId="13" xfId="0" applyFont="1" applyBorder="1"/>
    <xf numFmtId="166" fontId="10" fillId="0" borderId="19" xfId="2" applyNumberFormat="1" applyFont="1" applyBorder="1" applyAlignment="1">
      <alignment horizontal="center"/>
    </xf>
    <xf numFmtId="0" fontId="0" fillId="13" borderId="0" xfId="0" applyFill="1"/>
    <xf numFmtId="0" fontId="9" fillId="0" borderId="61" xfId="0" applyFont="1" applyFill="1" applyBorder="1" applyAlignment="1">
      <alignment horizontal="center"/>
    </xf>
    <xf numFmtId="6" fontId="10" fillId="0" borderId="8" xfId="0" applyNumberFormat="1" applyFont="1" applyBorder="1"/>
    <xf numFmtId="0" fontId="10" fillId="14" borderId="7" xfId="0" applyFont="1" applyFill="1" applyBorder="1"/>
    <xf numFmtId="167" fontId="10" fillId="14" borderId="8" xfId="0" applyNumberFormat="1" applyFont="1" applyFill="1" applyBorder="1"/>
    <xf numFmtId="167" fontId="10" fillId="14" borderId="61" xfId="0" applyNumberFormat="1" applyFont="1" applyFill="1" applyBorder="1"/>
    <xf numFmtId="167" fontId="9" fillId="14" borderId="34" xfId="0" applyNumberFormat="1" applyFont="1" applyFill="1" applyBorder="1"/>
    <xf numFmtId="166" fontId="10" fillId="14" borderId="18" xfId="2" applyNumberFormat="1" applyFont="1" applyFill="1" applyBorder="1" applyAlignment="1">
      <alignment horizontal="center"/>
    </xf>
    <xf numFmtId="167" fontId="9" fillId="0" borderId="14" xfId="0" applyNumberFormat="1" applyFont="1" applyBorder="1"/>
    <xf numFmtId="0" fontId="9" fillId="7" borderId="33" xfId="0" applyFont="1" applyFill="1" applyBorder="1" applyAlignment="1">
      <alignment horizontal="center"/>
    </xf>
    <xf numFmtId="167" fontId="9" fillId="7" borderId="34" xfId="0" applyNumberFormat="1" applyFont="1" applyFill="1" applyBorder="1"/>
    <xf numFmtId="166" fontId="9" fillId="0" borderId="19" xfId="2" applyNumberFormat="1" applyFont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7" borderId="21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7" fontId="9" fillId="7" borderId="0" xfId="0" applyNumberFormat="1" applyFont="1" applyFill="1" applyBorder="1"/>
    <xf numFmtId="0" fontId="9" fillId="0" borderId="18" xfId="0" applyFont="1" applyFill="1" applyBorder="1"/>
    <xf numFmtId="167" fontId="10" fillId="14" borderId="9" xfId="0" applyNumberFormat="1" applyFont="1" applyFill="1" applyBorder="1"/>
    <xf numFmtId="167" fontId="9" fillId="14" borderId="0" xfId="0" applyNumberFormat="1" applyFont="1" applyFill="1" applyBorder="1"/>
    <xf numFmtId="167" fontId="9" fillId="7" borderId="2" xfId="0" applyNumberFormat="1" applyFont="1" applyFill="1" applyBorder="1"/>
    <xf numFmtId="9" fontId="14" fillId="0" borderId="0" xfId="2" applyFont="1" applyAlignment="1">
      <alignment horizontal="center"/>
    </xf>
    <xf numFmtId="167" fontId="9" fillId="0" borderId="15" xfId="0" applyNumberFormat="1" applyFont="1" applyBorder="1"/>
    <xf numFmtId="166" fontId="14" fillId="0" borderId="0" xfId="2" applyNumberFormat="1" applyFont="1" applyAlignment="1">
      <alignment horizontal="center"/>
    </xf>
    <xf numFmtId="0" fontId="9" fillId="7" borderId="46" xfId="0" applyFont="1" applyFill="1" applyBorder="1" applyAlignment="1">
      <alignment horizontal="center"/>
    </xf>
    <xf numFmtId="167" fontId="9" fillId="7" borderId="48" xfId="0" applyNumberFormat="1" applyFont="1" applyFill="1" applyBorder="1"/>
    <xf numFmtId="167" fontId="10" fillId="0" borderId="0" xfId="0" applyNumberFormat="1" applyFont="1"/>
    <xf numFmtId="167" fontId="9" fillId="14" borderId="48" xfId="0" applyNumberFormat="1" applyFont="1" applyFill="1" applyBorder="1"/>
    <xf numFmtId="167" fontId="9" fillId="7" borderId="50" xfId="0" applyNumberFormat="1" applyFont="1" applyFill="1" applyBorder="1"/>
    <xf numFmtId="167" fontId="9" fillId="0" borderId="0" xfId="0" applyNumberFormat="1" applyFont="1"/>
    <xf numFmtId="167" fontId="10" fillId="0" borderId="8" xfId="0" applyNumberFormat="1" applyFont="1" applyFill="1" applyBorder="1" applyAlignment="1">
      <alignment horizontal="center"/>
    </xf>
    <xf numFmtId="167" fontId="10" fillId="0" borderId="15" xfId="0" applyNumberFormat="1" applyFont="1" applyBorder="1"/>
    <xf numFmtId="167" fontId="9" fillId="3" borderId="2" xfId="0" applyNumberFormat="1" applyFont="1" applyFill="1" applyBorder="1"/>
    <xf numFmtId="0" fontId="10" fillId="0" borderId="0" xfId="0" applyFont="1" applyAlignment="1">
      <alignment horizontal="right"/>
    </xf>
    <xf numFmtId="168" fontId="10" fillId="0" borderId="0" xfId="2" applyNumberFormat="1" applyFont="1" applyAlignment="1">
      <alignment horizontal="center"/>
    </xf>
    <xf numFmtId="167" fontId="9" fillId="3" borderId="51" xfId="0" applyNumberFormat="1" applyFont="1" applyFill="1" applyBorder="1" applyAlignment="1">
      <alignment horizontal="right"/>
    </xf>
    <xf numFmtId="168" fontId="14" fillId="0" borderId="0" xfId="2" applyNumberFormat="1" applyFont="1" applyAlignment="1">
      <alignment horizontal="center"/>
    </xf>
    <xf numFmtId="0" fontId="0" fillId="0" borderId="48" xfId="0" applyBorder="1" applyAlignment="1">
      <alignment horizontal="center"/>
    </xf>
    <xf numFmtId="0" fontId="9" fillId="3" borderId="69" xfId="0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167" fontId="10" fillId="3" borderId="70" xfId="0" applyNumberFormat="1" applyFont="1" applyFill="1" applyBorder="1"/>
    <xf numFmtId="166" fontId="21" fillId="0" borderId="18" xfId="2" applyNumberFormat="1" applyFont="1" applyBorder="1" applyAlignment="1">
      <alignment horizontal="center"/>
    </xf>
    <xf numFmtId="167" fontId="9" fillId="0" borderId="66" xfId="0" applyNumberFormat="1" applyFont="1" applyBorder="1"/>
    <xf numFmtId="167" fontId="9" fillId="3" borderId="71" xfId="0" applyNumberFormat="1" applyFont="1" applyFill="1" applyBorder="1"/>
    <xf numFmtId="167" fontId="9" fillId="3" borderId="72" xfId="0" applyNumberFormat="1" applyFont="1" applyFill="1" applyBorder="1"/>
    <xf numFmtId="167" fontId="9" fillId="7" borderId="65" xfId="0" applyNumberFormat="1" applyFont="1" applyFill="1" applyBorder="1"/>
    <xf numFmtId="0" fontId="23" fillId="0" borderId="0" xfId="12" quotePrefix="1" applyFont="1" applyAlignment="1">
      <alignment horizontal="left"/>
    </xf>
    <xf numFmtId="171" fontId="23" fillId="0" borderId="0" xfId="12" applyNumberFormat="1" applyFont="1"/>
    <xf numFmtId="0" fontId="6" fillId="0" borderId="0" xfId="12"/>
    <xf numFmtId="171" fontId="6" fillId="0" borderId="0" xfId="12" applyNumberFormat="1"/>
    <xf numFmtId="171" fontId="24" fillId="0" borderId="0" xfId="12" applyNumberFormat="1" applyFont="1"/>
    <xf numFmtId="0" fontId="25" fillId="0" borderId="0" xfId="12" applyFont="1"/>
    <xf numFmtId="171" fontId="25" fillId="0" borderId="0" xfId="12" applyNumberFormat="1" applyFont="1"/>
    <xf numFmtId="4" fontId="25" fillId="0" borderId="8" xfId="12" applyNumberFormat="1" applyFont="1" applyBorder="1"/>
    <xf numFmtId="171" fontId="25" fillId="0" borderId="0" xfId="12" applyNumberFormat="1" applyFont="1" applyAlignment="1">
      <alignment horizontal="right"/>
    </xf>
    <xf numFmtId="4" fontId="25" fillId="0" borderId="0" xfId="12" applyNumberFormat="1" applyFont="1"/>
    <xf numFmtId="10" fontId="25" fillId="0" borderId="0" xfId="14" applyNumberFormat="1" applyFont="1"/>
    <xf numFmtId="0" fontId="22" fillId="0" borderId="0" xfId="12" applyFont="1"/>
    <xf numFmtId="171" fontId="22" fillId="0" borderId="0" xfId="12" applyNumberFormat="1" applyFont="1"/>
    <xf numFmtId="172" fontId="24" fillId="0" borderId="67" xfId="12" applyNumberFormat="1" applyFont="1" applyBorder="1"/>
    <xf numFmtId="171" fontId="6" fillId="0" borderId="0" xfId="12" applyNumberFormat="1" applyAlignment="1">
      <alignment horizontal="right"/>
    </xf>
    <xf numFmtId="4" fontId="25" fillId="0" borderId="73" xfId="12" applyNumberFormat="1" applyFont="1" applyBorder="1"/>
    <xf numFmtId="0" fontId="22" fillId="0" borderId="67" xfId="12" applyFont="1" applyBorder="1"/>
    <xf numFmtId="173" fontId="22" fillId="0" borderId="67" xfId="12" applyNumberFormat="1" applyFont="1" applyBorder="1"/>
    <xf numFmtId="174" fontId="6" fillId="0" borderId="0" xfId="12" applyNumberFormat="1"/>
    <xf numFmtId="10" fontId="6" fillId="0" borderId="0" xfId="12" applyNumberFormat="1"/>
    <xf numFmtId="0" fontId="25" fillId="0" borderId="74" xfId="12" applyFont="1" applyBorder="1"/>
    <xf numFmtId="4" fontId="25" fillId="0" borderId="75" xfId="12" applyNumberFormat="1" applyFont="1" applyBorder="1"/>
    <xf numFmtId="9" fontId="0" fillId="0" borderId="0" xfId="2" applyFont="1"/>
    <xf numFmtId="9" fontId="0" fillId="0" borderId="0" xfId="2" applyFont="1" applyFill="1" applyBorder="1"/>
    <xf numFmtId="9" fontId="9" fillId="0" borderId="0" xfId="2" applyFont="1" applyFill="1" applyBorder="1" applyAlignment="1">
      <alignment horizontal="center"/>
    </xf>
    <xf numFmtId="168" fontId="9" fillId="5" borderId="14" xfId="0" applyNumberFormat="1" applyFont="1" applyFill="1" applyBorder="1"/>
    <xf numFmtId="168" fontId="9" fillId="5" borderId="13" xfId="0" applyNumberFormat="1" applyFont="1" applyFill="1" applyBorder="1"/>
    <xf numFmtId="168" fontId="9" fillId="3" borderId="19" xfId="2" applyNumberFormat="1" applyFont="1" applyFill="1" applyBorder="1" applyAlignment="1">
      <alignment horizontal="center"/>
    </xf>
    <xf numFmtId="167" fontId="10" fillId="0" borderId="8" xfId="0" applyNumberFormat="1" applyFont="1" applyBorder="1"/>
    <xf numFmtId="167" fontId="10" fillId="0" borderId="30" xfId="0" applyNumberFormat="1" applyFont="1" applyBorder="1"/>
    <xf numFmtId="167" fontId="10" fillId="0" borderId="8" xfId="0" applyNumberFormat="1" applyFont="1" applyFill="1" applyBorder="1"/>
    <xf numFmtId="167" fontId="9" fillId="0" borderId="61" xfId="4" applyNumberFormat="1" applyFont="1" applyFill="1" applyBorder="1" applyAlignment="1">
      <alignment horizontal="center"/>
    </xf>
    <xf numFmtId="167" fontId="10" fillId="0" borderId="61" xfId="0" applyNumberFormat="1" applyFont="1" applyBorder="1" applyAlignment="1">
      <alignment horizontal="center"/>
    </xf>
    <xf numFmtId="167" fontId="10" fillId="0" borderId="14" xfId="0" applyNumberFormat="1" applyFont="1" applyBorder="1" applyAlignment="1">
      <alignment horizontal="center"/>
    </xf>
    <xf numFmtId="171" fontId="27" fillId="19" borderId="68" xfId="27" applyNumberFormat="1" applyFont="1" applyBorder="1"/>
    <xf numFmtId="171" fontId="27" fillId="19" borderId="0" xfId="27" applyNumberFormat="1" applyFont="1" applyBorder="1"/>
    <xf numFmtId="171" fontId="27" fillId="19" borderId="2" xfId="27" applyNumberFormat="1" applyFont="1" applyBorder="1"/>
    <xf numFmtId="171" fontId="27" fillId="17" borderId="68" xfId="25" applyNumberFormat="1" applyFont="1" applyBorder="1"/>
    <xf numFmtId="171" fontId="27" fillId="17" borderId="0" xfId="25" applyNumberFormat="1" applyFont="1" applyBorder="1"/>
    <xf numFmtId="171" fontId="27" fillId="17" borderId="2" xfId="25" applyNumberFormat="1" applyFont="1" applyBorder="1"/>
    <xf numFmtId="0" fontId="27" fillId="0" borderId="0" xfId="12" applyFont="1"/>
    <xf numFmtId="171" fontId="27" fillId="0" borderId="0" xfId="12" applyNumberFormat="1" applyFont="1"/>
    <xf numFmtId="172" fontId="29" fillId="15" borderId="3" xfId="12" applyNumberFormat="1" applyFont="1" applyFill="1" applyBorder="1" applyAlignment="1">
      <alignment horizontal="center"/>
    </xf>
    <xf numFmtId="167" fontId="27" fillId="8" borderId="61" xfId="13" applyNumberFormat="1" applyFont="1" applyFill="1" applyBorder="1" applyAlignment="1">
      <alignment horizontal="center"/>
    </xf>
    <xf numFmtId="167" fontId="27" fillId="8" borderId="66" xfId="13" applyNumberFormat="1" applyFont="1" applyFill="1" applyBorder="1" applyAlignment="1">
      <alignment horizontal="center"/>
    </xf>
    <xf numFmtId="167" fontId="10" fillId="22" borderId="8" xfId="0" applyNumberFormat="1" applyFont="1" applyFill="1" applyBorder="1" applyAlignment="1">
      <alignment horizontal="center"/>
    </xf>
    <xf numFmtId="166" fontId="10" fillId="21" borderId="48" xfId="2" applyNumberFormat="1" applyFont="1" applyFill="1" applyBorder="1" applyAlignment="1">
      <alignment horizontal="center"/>
    </xf>
    <xf numFmtId="166" fontId="10" fillId="21" borderId="50" xfId="2" applyNumberFormat="1" applyFont="1" applyFill="1" applyBorder="1" applyAlignment="1">
      <alignment horizontal="center"/>
    </xf>
    <xf numFmtId="172" fontId="29" fillId="22" borderId="3" xfId="12" applyNumberFormat="1" applyFont="1" applyFill="1" applyBorder="1" applyAlignment="1">
      <alignment horizontal="center"/>
    </xf>
    <xf numFmtId="172" fontId="29" fillId="24" borderId="3" xfId="12" applyNumberFormat="1" applyFont="1" applyFill="1" applyBorder="1" applyAlignment="1">
      <alignment horizontal="center"/>
    </xf>
    <xf numFmtId="172" fontId="29" fillId="8" borderId="3" xfId="12" applyNumberFormat="1" applyFont="1" applyFill="1" applyBorder="1" applyAlignment="1">
      <alignment horizontal="center"/>
    </xf>
    <xf numFmtId="0" fontId="27" fillId="0" borderId="0" xfId="13" applyFont="1"/>
    <xf numFmtId="4" fontId="27" fillId="0" borderId="0" xfId="12" applyNumberFormat="1" applyFont="1"/>
    <xf numFmtId="167" fontId="27" fillId="0" borderId="0" xfId="12" applyNumberFormat="1" applyFont="1"/>
    <xf numFmtId="4" fontId="27" fillId="0" borderId="61" xfId="12" applyNumberFormat="1" applyFont="1" applyBorder="1"/>
    <xf numFmtId="165" fontId="9" fillId="5" borderId="44" xfId="1" applyNumberFormat="1" applyFont="1" applyFill="1" applyBorder="1" applyAlignment="1">
      <alignment horizontal="center"/>
    </xf>
    <xf numFmtId="10" fontId="10" fillId="0" borderId="0" xfId="2" applyNumberFormat="1" applyFont="1"/>
    <xf numFmtId="168" fontId="10" fillId="0" borderId="0" xfId="0" applyNumberFormat="1" applyFont="1"/>
    <xf numFmtId="169" fontId="10" fillId="0" borderId="0" xfId="0" applyNumberFormat="1" applyFont="1"/>
    <xf numFmtId="167" fontId="29" fillId="15" borderId="3" xfId="12" applyNumberFormat="1" applyFont="1" applyFill="1" applyBorder="1" applyAlignment="1">
      <alignment horizontal="center"/>
    </xf>
    <xf numFmtId="167" fontId="29" fillId="15" borderId="66" xfId="12" applyNumberFormat="1" applyFont="1" applyFill="1" applyBorder="1" applyAlignment="1">
      <alignment horizontal="center"/>
    </xf>
    <xf numFmtId="167" fontId="29" fillId="15" borderId="2" xfId="12" applyNumberFormat="1" applyFont="1" applyFill="1" applyBorder="1" applyAlignment="1">
      <alignment horizontal="center"/>
    </xf>
    <xf numFmtId="167" fontId="29" fillId="15" borderId="14" xfId="12" applyNumberFormat="1" applyFont="1" applyFill="1" applyBorder="1" applyAlignment="1">
      <alignment horizontal="center"/>
    </xf>
    <xf numFmtId="167" fontId="29" fillId="8" borderId="66" xfId="13" applyNumberFormat="1" applyFont="1" applyFill="1" applyBorder="1" applyAlignment="1">
      <alignment horizontal="center"/>
    </xf>
    <xf numFmtId="167" fontId="29" fillId="19" borderId="76" xfId="27" applyNumberFormat="1" applyFont="1" applyBorder="1"/>
    <xf numFmtId="167" fontId="29" fillId="19" borderId="56" xfId="27" applyNumberFormat="1" applyFont="1" applyBorder="1"/>
    <xf numFmtId="167" fontId="29" fillId="19" borderId="58" xfId="27" applyNumberFormat="1" applyFont="1" applyBorder="1"/>
    <xf numFmtId="167" fontId="29" fillId="17" borderId="76" xfId="25" applyNumberFormat="1" applyFont="1" applyBorder="1"/>
    <xf numFmtId="167" fontId="29" fillId="17" borderId="56" xfId="25" applyNumberFormat="1" applyFont="1" applyBorder="1"/>
    <xf numFmtId="167" fontId="29" fillId="17" borderId="58" xfId="25" applyNumberFormat="1" applyFont="1" applyBorder="1"/>
    <xf numFmtId="0" fontId="29" fillId="27" borderId="56" xfId="12" applyFont="1" applyFill="1" applyBorder="1"/>
    <xf numFmtId="10" fontId="29" fillId="27" borderId="3" xfId="14" applyNumberFormat="1" applyFont="1" applyFill="1" applyBorder="1"/>
    <xf numFmtId="0" fontId="29" fillId="27" borderId="77" xfId="12" applyFont="1" applyFill="1" applyBorder="1"/>
    <xf numFmtId="0" fontId="29" fillId="27" borderId="3" xfId="12" applyFont="1" applyFill="1" applyBorder="1"/>
    <xf numFmtId="167" fontId="27" fillId="29" borderId="78" xfId="12" applyNumberFormat="1" applyFont="1" applyFill="1" applyBorder="1"/>
    <xf numFmtId="167" fontId="27" fillId="29" borderId="79" xfId="12" applyNumberFormat="1" applyFont="1" applyFill="1" applyBorder="1"/>
    <xf numFmtId="167" fontId="27" fillId="29" borderId="0" xfId="12" applyNumberFormat="1" applyFont="1" applyFill="1" applyBorder="1"/>
    <xf numFmtId="167" fontId="27" fillId="29" borderId="48" xfId="12" applyNumberFormat="1" applyFont="1" applyFill="1" applyBorder="1"/>
    <xf numFmtId="0" fontId="29" fillId="0" borderId="0" xfId="12" applyFont="1" applyFill="1"/>
    <xf numFmtId="171" fontId="29" fillId="0" borderId="0" xfId="12" applyNumberFormat="1" applyFont="1" applyFill="1"/>
    <xf numFmtId="167" fontId="27" fillId="0" borderId="61" xfId="12" applyNumberFormat="1" applyFont="1" applyFill="1" applyBorder="1" applyAlignment="1">
      <alignment horizontal="center"/>
    </xf>
    <xf numFmtId="167" fontId="27" fillId="0" borderId="8" xfId="12" applyNumberFormat="1" applyFont="1" applyFill="1" applyBorder="1" applyAlignment="1">
      <alignment horizontal="center"/>
    </xf>
    <xf numFmtId="167" fontId="27" fillId="0" borderId="30" xfId="12" applyNumberFormat="1" applyFont="1" applyFill="1" applyBorder="1" applyAlignment="1">
      <alignment horizontal="center"/>
    </xf>
    <xf numFmtId="167" fontId="27" fillId="0" borderId="0" xfId="12" applyNumberFormat="1" applyFont="1" applyFill="1" applyBorder="1" applyAlignment="1">
      <alignment horizontal="center"/>
    </xf>
    <xf numFmtId="171" fontId="29" fillId="0" borderId="72" xfId="12" applyNumberFormat="1" applyFont="1" applyFill="1" applyBorder="1"/>
    <xf numFmtId="167" fontId="27" fillId="0" borderId="66" xfId="12" applyNumberFormat="1" applyFont="1" applyFill="1" applyBorder="1" applyAlignment="1">
      <alignment horizontal="center"/>
    </xf>
    <xf numFmtId="167" fontId="27" fillId="0" borderId="14" xfId="12" applyNumberFormat="1" applyFont="1" applyFill="1" applyBorder="1" applyAlignment="1">
      <alignment horizontal="center"/>
    </xf>
    <xf numFmtId="167" fontId="27" fillId="0" borderId="2" xfId="12" applyNumberFormat="1" applyFont="1" applyFill="1" applyBorder="1" applyAlignment="1">
      <alignment horizontal="center"/>
    </xf>
    <xf numFmtId="0" fontId="29" fillId="30" borderId="77" xfId="12" applyFont="1" applyFill="1" applyBorder="1"/>
    <xf numFmtId="0" fontId="29" fillId="30" borderId="78" xfId="12" applyFont="1" applyFill="1" applyBorder="1"/>
    <xf numFmtId="173" fontId="29" fillId="30" borderId="78" xfId="12" applyNumberFormat="1" applyFont="1" applyFill="1" applyBorder="1"/>
    <xf numFmtId="173" fontId="29" fillId="30" borderId="79" xfId="12" applyNumberFormat="1" applyFont="1" applyFill="1" applyBorder="1"/>
    <xf numFmtId="10" fontId="27" fillId="30" borderId="0" xfId="12" applyNumberFormat="1" applyFont="1" applyFill="1" applyBorder="1"/>
    <xf numFmtId="10" fontId="27" fillId="30" borderId="48" xfId="12" applyNumberFormat="1" applyFont="1" applyFill="1" applyBorder="1"/>
    <xf numFmtId="10" fontId="27" fillId="30" borderId="2" xfId="12" applyNumberFormat="1" applyFont="1" applyFill="1" applyBorder="1"/>
    <xf numFmtId="10" fontId="27" fillId="30" borderId="50" xfId="12" applyNumberFormat="1" applyFont="1" applyFill="1" applyBorder="1"/>
    <xf numFmtId="0" fontId="29" fillId="30" borderId="56" xfId="12" applyFont="1" applyFill="1" applyBorder="1"/>
    <xf numFmtId="174" fontId="29" fillId="30" borderId="0" xfId="12" applyNumberFormat="1" applyFont="1" applyFill="1" applyBorder="1"/>
    <xf numFmtId="0" fontId="29" fillId="30" borderId="58" xfId="12" applyFont="1" applyFill="1" applyBorder="1"/>
    <xf numFmtId="174" fontId="29" fillId="30" borderId="2" xfId="12" applyNumberFormat="1" applyFont="1" applyFill="1" applyBorder="1"/>
    <xf numFmtId="165" fontId="9" fillId="22" borderId="44" xfId="1" applyNumberFormat="1" applyFont="1" applyFill="1" applyBorder="1" applyAlignment="1">
      <alignment horizontal="center"/>
    </xf>
    <xf numFmtId="167" fontId="10" fillId="22" borderId="8" xfId="0" applyNumberFormat="1" applyFont="1" applyFill="1" applyBorder="1"/>
    <xf numFmtId="166" fontId="9" fillId="24" borderId="50" xfId="2" applyNumberFormat="1" applyFont="1" applyFill="1" applyBorder="1" applyAlignment="1">
      <alignment horizontal="center"/>
    </xf>
    <xf numFmtId="165" fontId="9" fillId="21" borderId="3" xfId="1" applyNumberFormat="1" applyFont="1" applyFill="1" applyBorder="1" applyAlignment="1">
      <alignment horizontal="center"/>
    </xf>
    <xf numFmtId="166" fontId="10" fillId="21" borderId="17" xfId="2" applyNumberFormat="1" applyFont="1" applyFill="1" applyBorder="1" applyAlignment="1">
      <alignment horizontal="center"/>
    </xf>
    <xf numFmtId="166" fontId="9" fillId="21" borderId="50" xfId="2" applyNumberFormat="1" applyFont="1" applyFill="1" applyBorder="1" applyAlignment="1">
      <alignment horizontal="center"/>
    </xf>
    <xf numFmtId="167" fontId="10" fillId="0" borderId="7" xfId="1" applyNumberFormat="1" applyFont="1" applyBorder="1" applyAlignment="1">
      <alignment horizontal="center"/>
    </xf>
    <xf numFmtId="167" fontId="10" fillId="0" borderId="7" xfId="1" applyNumberFormat="1" applyFont="1" applyFill="1" applyBorder="1" applyAlignment="1">
      <alignment horizontal="center"/>
    </xf>
    <xf numFmtId="167" fontId="9" fillId="5" borderId="27" xfId="1" applyNumberFormat="1" applyFont="1" applyFill="1" applyBorder="1" applyAlignment="1">
      <alignment horizontal="center"/>
    </xf>
    <xf numFmtId="167" fontId="9" fillId="5" borderId="28" xfId="1" applyNumberFormat="1" applyFont="1" applyFill="1" applyBorder="1" applyAlignment="1">
      <alignment horizontal="center"/>
    </xf>
    <xf numFmtId="167" fontId="9" fillId="22" borderId="28" xfId="0" applyNumberFormat="1" applyFont="1" applyFill="1" applyBorder="1" applyAlignment="1">
      <alignment horizontal="center"/>
    </xf>
    <xf numFmtId="44" fontId="9" fillId="5" borderId="59" xfId="4" applyFont="1" applyFill="1" applyBorder="1"/>
    <xf numFmtId="44" fontId="9" fillId="5" borderId="3" xfId="4" applyFont="1" applyFill="1" applyBorder="1"/>
    <xf numFmtId="44" fontId="9" fillId="22" borderId="4" xfId="4" applyFont="1" applyFill="1" applyBorder="1" applyAlignment="1">
      <alignment horizontal="center"/>
    </xf>
    <xf numFmtId="44" fontId="9" fillId="23" borderId="81" xfId="4" applyFont="1" applyFill="1" applyBorder="1"/>
    <xf numFmtId="167" fontId="9" fillId="23" borderId="74" xfId="4" applyNumberFormat="1" applyFont="1" applyFill="1" applyBorder="1" applyAlignment="1">
      <alignment horizontal="center"/>
    </xf>
    <xf numFmtId="167" fontId="9" fillId="23" borderId="82" xfId="4" applyNumberFormat="1" applyFont="1" applyFill="1" applyBorder="1" applyAlignment="1">
      <alignment horizontal="center"/>
    </xf>
    <xf numFmtId="167" fontId="9" fillId="23" borderId="80" xfId="4" applyNumberFormat="1" applyFont="1" applyFill="1" applyBorder="1" applyAlignment="1">
      <alignment horizontal="center"/>
    </xf>
    <xf numFmtId="167" fontId="9" fillId="23" borderId="84" xfId="4" applyNumberFormat="1" applyFont="1" applyFill="1" applyBorder="1" applyAlignment="1">
      <alignment horizontal="center"/>
    </xf>
    <xf numFmtId="44" fontId="9" fillId="5" borderId="5" xfId="4" applyFont="1" applyFill="1" applyBorder="1" applyAlignment="1">
      <alignment horizontal="center"/>
    </xf>
    <xf numFmtId="9" fontId="10" fillId="24" borderId="18" xfId="2" applyFont="1" applyFill="1" applyBorder="1" applyAlignment="1">
      <alignment horizontal="center"/>
    </xf>
    <xf numFmtId="9" fontId="9" fillId="24" borderId="16" xfId="2" applyFont="1" applyFill="1" applyBorder="1" applyAlignment="1">
      <alignment horizontal="center"/>
    </xf>
    <xf numFmtId="44" fontId="9" fillId="3" borderId="4" xfId="4" applyFont="1" applyFill="1" applyBorder="1" applyAlignment="1">
      <alignment horizontal="center"/>
    </xf>
    <xf numFmtId="166" fontId="9" fillId="15" borderId="59" xfId="0" applyNumberFormat="1" applyFont="1" applyFill="1" applyBorder="1"/>
    <xf numFmtId="165" fontId="9" fillId="15" borderId="4" xfId="1" applyNumberFormat="1" applyFont="1" applyFill="1" applyBorder="1" applyAlignment="1">
      <alignment horizontal="center"/>
    </xf>
    <xf numFmtId="165" fontId="9" fillId="15" borderId="39" xfId="1" applyNumberFormat="1" applyFont="1" applyFill="1" applyBorder="1" applyAlignment="1">
      <alignment horizontal="center"/>
    </xf>
    <xf numFmtId="165" fontId="9" fillId="15" borderId="6" xfId="1" applyNumberFormat="1" applyFont="1" applyFill="1" applyBorder="1" applyAlignment="1">
      <alignment horizontal="center"/>
    </xf>
    <xf numFmtId="0" fontId="9" fillId="15" borderId="58" xfId="0" applyFont="1" applyFill="1" applyBorder="1"/>
    <xf numFmtId="0" fontId="9" fillId="8" borderId="45" xfId="0" applyFont="1" applyFill="1" applyBorder="1" applyAlignment="1">
      <alignment horizontal="center"/>
    </xf>
    <xf numFmtId="165" fontId="9" fillId="22" borderId="4" xfId="1" applyNumberFormat="1" applyFont="1" applyFill="1" applyBorder="1" applyAlignment="1">
      <alignment horizontal="center"/>
    </xf>
    <xf numFmtId="165" fontId="9" fillId="24" borderId="21" xfId="1" applyNumberFormat="1" applyFont="1" applyFill="1" applyBorder="1" applyAlignment="1">
      <alignment horizontal="center"/>
    </xf>
    <xf numFmtId="166" fontId="10" fillId="24" borderId="0" xfId="2" applyNumberFormat="1" applyFont="1" applyFill="1" applyBorder="1" applyAlignment="1">
      <alignment horizontal="center"/>
    </xf>
    <xf numFmtId="166" fontId="10" fillId="24" borderId="11" xfId="2" applyNumberFormat="1" applyFont="1" applyFill="1" applyBorder="1" applyAlignment="1">
      <alignment horizontal="center"/>
    </xf>
    <xf numFmtId="166" fontId="9" fillId="24" borderId="2" xfId="2" applyNumberFormat="1" applyFont="1" applyFill="1" applyBorder="1" applyAlignment="1">
      <alignment horizontal="center"/>
    </xf>
    <xf numFmtId="0" fontId="32" fillId="0" borderId="0" xfId="0" applyFont="1"/>
    <xf numFmtId="167" fontId="9" fillId="23" borderId="55" xfId="4" applyNumberFormat="1" applyFont="1" applyFill="1" applyBorder="1" applyAlignment="1">
      <alignment horizontal="center"/>
    </xf>
    <xf numFmtId="167" fontId="9" fillId="23" borderId="85" xfId="4" applyNumberFormat="1" applyFont="1" applyFill="1" applyBorder="1" applyAlignment="1">
      <alignment horizontal="center"/>
    </xf>
    <xf numFmtId="165" fontId="9" fillId="24" borderId="16" xfId="1" applyNumberFormat="1" applyFont="1" applyFill="1" applyBorder="1" applyAlignment="1">
      <alignment horizontal="center"/>
    </xf>
    <xf numFmtId="166" fontId="9" fillId="24" borderId="16" xfId="2" applyNumberFormat="1" applyFont="1" applyFill="1" applyBorder="1" applyAlignment="1">
      <alignment horizontal="center"/>
    </xf>
    <xf numFmtId="0" fontId="9" fillId="0" borderId="37" xfId="0" applyFont="1" applyBorder="1"/>
    <xf numFmtId="0" fontId="9" fillId="0" borderId="7" xfId="0" applyFont="1" applyBorder="1"/>
    <xf numFmtId="0" fontId="9" fillId="0" borderId="7" xfId="0" applyFont="1" applyFill="1" applyBorder="1"/>
    <xf numFmtId="167" fontId="10" fillId="0" borderId="8" xfId="4" applyNumberFormat="1" applyFont="1" applyFill="1" applyBorder="1" applyAlignment="1">
      <alignment horizontal="center"/>
    </xf>
    <xf numFmtId="167" fontId="10" fillId="0" borderId="61" xfId="4" applyNumberFormat="1" applyFont="1" applyFill="1" applyBorder="1" applyAlignment="1">
      <alignment horizontal="center"/>
    </xf>
    <xf numFmtId="167" fontId="9" fillId="3" borderId="8" xfId="4" applyNumberFormat="1" applyFont="1" applyFill="1" applyBorder="1" applyAlignment="1">
      <alignment horizontal="center"/>
    </xf>
    <xf numFmtId="167" fontId="10" fillId="22" borderId="8" xfId="4" applyNumberFormat="1" applyFont="1" applyFill="1" applyBorder="1" applyAlignment="1">
      <alignment horizontal="center"/>
    </xf>
    <xf numFmtId="167" fontId="10" fillId="0" borderId="8" xfId="4" applyNumberFormat="1" applyFont="1" applyBorder="1" applyAlignment="1">
      <alignment horizontal="center"/>
    </xf>
    <xf numFmtId="167" fontId="10" fillId="0" borderId="8" xfId="4" quotePrefix="1" applyNumberFormat="1" applyFont="1" applyFill="1" applyBorder="1" applyAlignment="1">
      <alignment horizontal="center"/>
    </xf>
    <xf numFmtId="167" fontId="10" fillId="0" borderId="8" xfId="4" quotePrefix="1" applyNumberFormat="1" applyFont="1" applyBorder="1" applyAlignment="1">
      <alignment horizontal="center"/>
    </xf>
    <xf numFmtId="167" fontId="9" fillId="3" borderId="14" xfId="4" applyNumberFormat="1" applyFont="1" applyFill="1" applyBorder="1" applyAlignment="1">
      <alignment horizontal="center"/>
    </xf>
    <xf numFmtId="167" fontId="9" fillId="5" borderId="3" xfId="4" applyNumberFormat="1" applyFont="1" applyFill="1" applyBorder="1" applyAlignment="1">
      <alignment horizontal="center"/>
    </xf>
    <xf numFmtId="167" fontId="9" fillId="8" borderId="4" xfId="4" applyNumberFormat="1" applyFont="1" applyFill="1" applyBorder="1" applyAlignment="1">
      <alignment horizontal="center"/>
    </xf>
    <xf numFmtId="167" fontId="9" fillId="22" borderId="4" xfId="4" applyNumberFormat="1" applyFont="1" applyFill="1" applyBorder="1" applyAlignment="1">
      <alignment horizontal="center"/>
    </xf>
    <xf numFmtId="167" fontId="10" fillId="0" borderId="30" xfId="0" applyNumberFormat="1" applyFont="1" applyBorder="1" applyAlignment="1">
      <alignment horizontal="center"/>
    </xf>
    <xf numFmtId="167" fontId="9" fillId="8" borderId="51" xfId="0" applyNumberFormat="1" applyFont="1" applyFill="1" applyBorder="1" applyAlignment="1">
      <alignment horizontal="center"/>
    </xf>
    <xf numFmtId="167" fontId="9" fillId="8" borderId="34" xfId="0" applyNumberFormat="1" applyFont="1" applyFill="1" applyBorder="1" applyAlignment="1">
      <alignment horizontal="center"/>
    </xf>
    <xf numFmtId="167" fontId="10" fillId="0" borderId="11" xfId="0" applyNumberFormat="1" applyFont="1" applyFill="1" applyBorder="1" applyAlignment="1">
      <alignment horizontal="center"/>
    </xf>
    <xf numFmtId="167" fontId="9" fillId="8" borderId="52" xfId="0" applyNumberFormat="1" applyFont="1" applyFill="1" applyBorder="1" applyAlignment="1">
      <alignment horizontal="center"/>
    </xf>
    <xf numFmtId="167" fontId="9" fillId="15" borderId="28" xfId="0" applyNumberFormat="1" applyFont="1" applyFill="1" applyBorder="1" applyAlignment="1">
      <alignment horizontal="center"/>
    </xf>
    <xf numFmtId="167" fontId="9" fillId="15" borderId="43" xfId="0" applyNumberFormat="1" applyFont="1" applyFill="1" applyBorder="1" applyAlignment="1">
      <alignment horizontal="center"/>
    </xf>
    <xf numFmtId="167" fontId="9" fillId="15" borderId="14" xfId="0" applyNumberFormat="1" applyFont="1" applyFill="1" applyBorder="1" applyAlignment="1">
      <alignment horizontal="center"/>
    </xf>
    <xf numFmtId="167" fontId="9" fillId="15" borderId="15" xfId="0" applyNumberFormat="1" applyFont="1" applyFill="1" applyBorder="1" applyAlignment="1">
      <alignment horizontal="center"/>
    </xf>
    <xf numFmtId="167" fontId="9" fillId="8" borderId="53" xfId="0" applyNumberFormat="1" applyFont="1" applyFill="1" applyBorder="1" applyAlignment="1">
      <alignment horizontal="center"/>
    </xf>
    <xf numFmtId="167" fontId="27" fillId="17" borderId="60" xfId="25" applyNumberFormat="1" applyFont="1" applyBorder="1" applyAlignment="1">
      <alignment horizontal="center"/>
    </xf>
    <xf numFmtId="167" fontId="27" fillId="17" borderId="30" xfId="25" applyNumberFormat="1" applyFont="1" applyBorder="1" applyAlignment="1">
      <alignment horizontal="center"/>
    </xf>
    <xf numFmtId="167" fontId="27" fillId="17" borderId="64" xfId="25" applyNumberFormat="1" applyFont="1" applyBorder="1" applyAlignment="1">
      <alignment horizontal="center"/>
    </xf>
    <xf numFmtId="167" fontId="27" fillId="17" borderId="61" xfId="25" applyNumberFormat="1" applyFont="1" applyBorder="1" applyAlignment="1">
      <alignment horizontal="center"/>
    </xf>
    <xf numFmtId="167" fontId="27" fillId="17" borderId="8" xfId="25" applyNumberFormat="1" applyFont="1" applyBorder="1" applyAlignment="1">
      <alignment horizontal="center"/>
    </xf>
    <xf numFmtId="167" fontId="27" fillId="17" borderId="18" xfId="25" applyNumberFormat="1" applyFont="1" applyBorder="1" applyAlignment="1">
      <alignment horizontal="center"/>
    </xf>
    <xf numFmtId="167" fontId="27" fillId="17" borderId="66" xfId="25" applyNumberFormat="1" applyFont="1" applyBorder="1" applyAlignment="1">
      <alignment horizontal="center"/>
    </xf>
    <xf numFmtId="167" fontId="27" fillId="17" borderId="14" xfId="25" applyNumberFormat="1" applyFont="1" applyBorder="1" applyAlignment="1">
      <alignment horizontal="center"/>
    </xf>
    <xf numFmtId="167" fontId="27" fillId="19" borderId="60" xfId="27" applyNumberFormat="1" applyFont="1" applyBorder="1" applyAlignment="1">
      <alignment horizontal="center"/>
    </xf>
    <xf numFmtId="167" fontId="27" fillId="19" borderId="30" xfId="27" applyNumberFormat="1" applyFont="1" applyBorder="1" applyAlignment="1">
      <alignment horizontal="center"/>
    </xf>
    <xf numFmtId="167" fontId="27" fillId="19" borderId="64" xfId="27" applyNumberFormat="1" applyFont="1" applyBorder="1" applyAlignment="1">
      <alignment horizontal="center"/>
    </xf>
    <xf numFmtId="167" fontId="27" fillId="19" borderId="61" xfId="27" applyNumberFormat="1" applyFont="1" applyBorder="1" applyAlignment="1">
      <alignment horizontal="center"/>
    </xf>
    <xf numFmtId="167" fontId="27" fillId="19" borderId="8" xfId="27" applyNumberFormat="1" applyFont="1" applyBorder="1" applyAlignment="1">
      <alignment horizontal="center"/>
    </xf>
    <xf numFmtId="167" fontId="27" fillId="19" borderId="18" xfId="27" applyNumberFormat="1" applyFont="1" applyBorder="1" applyAlignment="1">
      <alignment horizontal="center"/>
    </xf>
    <xf numFmtId="167" fontId="27" fillId="19" borderId="66" xfId="27" applyNumberFormat="1" applyFont="1" applyBorder="1" applyAlignment="1">
      <alignment horizontal="center"/>
    </xf>
    <xf numFmtId="167" fontId="27" fillId="19" borderId="14" xfId="27" applyNumberFormat="1" applyFont="1" applyBorder="1" applyAlignment="1">
      <alignment horizontal="center"/>
    </xf>
    <xf numFmtId="167" fontId="27" fillId="19" borderId="3" xfId="27" applyNumberFormat="1" applyFont="1" applyBorder="1" applyAlignment="1">
      <alignment horizontal="center"/>
    </xf>
    <xf numFmtId="167" fontId="10" fillId="0" borderId="5" xfId="1" applyNumberFormat="1" applyFont="1" applyBorder="1" applyAlignment="1">
      <alignment horizontal="center"/>
    </xf>
    <xf numFmtId="167" fontId="10" fillId="0" borderId="4" xfId="1" applyNumberFormat="1" applyFont="1" applyBorder="1" applyAlignment="1">
      <alignment horizontal="center"/>
    </xf>
    <xf numFmtId="9" fontId="9" fillId="24" borderId="16" xfId="2" applyFont="1" applyFill="1" applyBorder="1"/>
    <xf numFmtId="0" fontId="9" fillId="24" borderId="16" xfId="0" applyFont="1" applyFill="1" applyBorder="1"/>
    <xf numFmtId="166" fontId="10" fillId="24" borderId="18" xfId="2" applyNumberFormat="1" applyFont="1" applyFill="1" applyBorder="1" applyAlignment="1">
      <alignment horizontal="center"/>
    </xf>
    <xf numFmtId="166" fontId="10" fillId="24" borderId="19" xfId="2" applyNumberFormat="1" applyFont="1" applyFill="1" applyBorder="1" applyAlignment="1">
      <alignment horizontal="center"/>
    </xf>
    <xf numFmtId="0" fontId="9" fillId="22" borderId="4" xfId="0" applyFont="1" applyFill="1" applyBorder="1" applyAlignment="1">
      <alignment horizontal="center"/>
    </xf>
    <xf numFmtId="167" fontId="9" fillId="22" borderId="3" xfId="0" applyNumberFormat="1" applyFont="1" applyFill="1" applyBorder="1" applyAlignment="1">
      <alignment horizontal="center"/>
    </xf>
    <xf numFmtId="167" fontId="10" fillId="0" borderId="61" xfId="0" applyNumberFormat="1" applyFont="1" applyFill="1" applyBorder="1" applyAlignment="1">
      <alignment horizontal="center"/>
    </xf>
    <xf numFmtId="167" fontId="10" fillId="0" borderId="66" xfId="0" applyNumberFormat="1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67" fontId="9" fillId="3" borderId="30" xfId="0" applyNumberFormat="1" applyFont="1" applyFill="1" applyBorder="1" applyAlignment="1">
      <alignment horizontal="center"/>
    </xf>
    <xf numFmtId="167" fontId="9" fillId="3" borderId="8" xfId="0" applyNumberFormat="1" applyFont="1" applyFill="1" applyBorder="1" applyAlignment="1">
      <alignment horizontal="center"/>
    </xf>
    <xf numFmtId="167" fontId="9" fillId="3" borderId="3" xfId="0" applyNumberFormat="1" applyFont="1" applyFill="1" applyBorder="1" applyAlignment="1">
      <alignment horizontal="center"/>
    </xf>
    <xf numFmtId="0" fontId="33" fillId="26" borderId="5" xfId="0" applyFont="1" applyFill="1" applyBorder="1"/>
    <xf numFmtId="166" fontId="33" fillId="26" borderId="2" xfId="2" applyNumberFormat="1" applyFont="1" applyFill="1" applyBorder="1" applyAlignment="1">
      <alignment horizontal="center"/>
    </xf>
    <xf numFmtId="167" fontId="10" fillId="0" borderId="60" xfId="0" applyNumberFormat="1" applyFont="1" applyBorder="1"/>
    <xf numFmtId="0" fontId="9" fillId="8" borderId="4" xfId="0" applyFont="1" applyFill="1" applyBorder="1" applyAlignment="1">
      <alignment horizontal="center"/>
    </xf>
    <xf numFmtId="167" fontId="9" fillId="8" borderId="30" xfId="0" applyNumberFormat="1" applyFont="1" applyFill="1" applyBorder="1"/>
    <xf numFmtId="167" fontId="9" fillId="8" borderId="8" xfId="0" applyNumberFormat="1" applyFont="1" applyFill="1" applyBorder="1"/>
    <xf numFmtId="167" fontId="10" fillId="0" borderId="44" xfId="1" applyNumberFormat="1" applyFont="1" applyBorder="1" applyAlignment="1">
      <alignment horizontal="center"/>
    </xf>
    <xf numFmtId="167" fontId="10" fillId="22" borderId="4" xfId="0" applyNumberFormat="1" applyFont="1" applyFill="1" applyBorder="1" applyAlignment="1">
      <alignment horizontal="center"/>
    </xf>
    <xf numFmtId="167" fontId="9" fillId="3" borderId="4" xfId="1" applyNumberFormat="1" applyFont="1" applyFill="1" applyBorder="1" applyAlignment="1">
      <alignment horizontal="center"/>
    </xf>
    <xf numFmtId="167" fontId="9" fillId="5" borderId="39" xfId="0" applyNumberFormat="1" applyFont="1" applyFill="1" applyBorder="1"/>
    <xf numFmtId="167" fontId="9" fillId="5" borderId="44" xfId="0" applyNumberFormat="1" applyFont="1" applyFill="1" applyBorder="1"/>
    <xf numFmtId="167" fontId="9" fillId="8" borderId="4" xfId="0" applyNumberFormat="1" applyFont="1" applyFill="1" applyBorder="1"/>
    <xf numFmtId="167" fontId="9" fillId="22" borderId="4" xfId="0" applyNumberFormat="1" applyFont="1" applyFill="1" applyBorder="1"/>
    <xf numFmtId="167" fontId="10" fillId="0" borderId="56" xfId="1" applyNumberFormat="1" applyFont="1" applyBorder="1" applyAlignment="1">
      <alignment horizontal="center"/>
    </xf>
    <xf numFmtId="167" fontId="10" fillId="0" borderId="56" xfId="1" applyNumberFormat="1" applyFont="1" applyFill="1" applyBorder="1" applyAlignment="1">
      <alignment horizontal="center"/>
    </xf>
    <xf numFmtId="167" fontId="9" fillId="5" borderId="63" xfId="1" applyNumberFormat="1" applyFont="1" applyFill="1" applyBorder="1" applyAlignment="1">
      <alignment horizontal="center"/>
    </xf>
    <xf numFmtId="167" fontId="9" fillId="3" borderId="30" xfId="1" applyNumberFormat="1" applyFont="1" applyFill="1" applyBorder="1" applyAlignment="1">
      <alignment horizontal="center"/>
    </xf>
    <xf numFmtId="167" fontId="9" fillId="3" borderId="8" xfId="1" applyNumberFormat="1" applyFont="1" applyFill="1" applyBorder="1" applyAlignment="1">
      <alignment horizontal="center"/>
    </xf>
    <xf numFmtId="167" fontId="9" fillId="8" borderId="8" xfId="1" applyNumberFormat="1" applyFont="1" applyFill="1" applyBorder="1" applyAlignment="1">
      <alignment horizontal="center"/>
    </xf>
    <xf numFmtId="167" fontId="9" fillId="3" borderId="11" xfId="1" applyNumberFormat="1" applyFont="1" applyFill="1" applyBorder="1" applyAlignment="1">
      <alignment horizontal="center"/>
    </xf>
    <xf numFmtId="167" fontId="9" fillId="3" borderId="28" xfId="1" applyNumberFormat="1" applyFont="1" applyFill="1" applyBorder="1" applyAlignment="1">
      <alignment horizontal="center"/>
    </xf>
    <xf numFmtId="167" fontId="29" fillId="22" borderId="3" xfId="13" applyNumberFormat="1" applyFont="1" applyFill="1" applyBorder="1" applyAlignment="1">
      <alignment horizontal="center"/>
    </xf>
    <xf numFmtId="9" fontId="9" fillId="23" borderId="83" xfId="2" applyFont="1" applyFill="1" applyBorder="1" applyAlignment="1">
      <alignment horizontal="center"/>
    </xf>
    <xf numFmtId="44" fontId="9" fillId="23" borderId="86" xfId="4" applyFont="1" applyFill="1" applyBorder="1"/>
    <xf numFmtId="9" fontId="9" fillId="23" borderId="87" xfId="2" applyFont="1" applyFill="1" applyBorder="1" applyAlignment="1">
      <alignment horizontal="center"/>
    </xf>
    <xf numFmtId="167" fontId="27" fillId="0" borderId="0" xfId="28" applyNumberFormat="1" applyFont="1" applyBorder="1" applyAlignment="1">
      <alignment horizontal="center"/>
    </xf>
    <xf numFmtId="44" fontId="9" fillId="23" borderId="88" xfId="4" applyFont="1" applyFill="1" applyBorder="1"/>
    <xf numFmtId="9" fontId="9" fillId="23" borderId="89" xfId="2" applyFont="1" applyFill="1" applyBorder="1" applyAlignment="1">
      <alignment horizontal="center"/>
    </xf>
    <xf numFmtId="165" fontId="9" fillId="33" borderId="16" xfId="1" applyNumberFormat="1" applyFont="1" applyFill="1" applyBorder="1" applyAlignment="1">
      <alignment horizontal="center"/>
    </xf>
    <xf numFmtId="166" fontId="10" fillId="33" borderId="18" xfId="2" applyNumberFormat="1" applyFont="1" applyFill="1" applyBorder="1" applyAlignment="1">
      <alignment horizontal="center"/>
    </xf>
    <xf numFmtId="166" fontId="10" fillId="33" borderId="17" xfId="2" applyNumberFormat="1" applyFont="1" applyFill="1" applyBorder="1" applyAlignment="1">
      <alignment horizontal="center"/>
    </xf>
    <xf numFmtId="166" fontId="9" fillId="33" borderId="19" xfId="2" applyNumberFormat="1" applyFont="1" applyFill="1" applyBorder="1" applyAlignment="1">
      <alignment horizontal="center"/>
    </xf>
    <xf numFmtId="166" fontId="33" fillId="34" borderId="66" xfId="2" applyNumberFormat="1" applyFont="1" applyFill="1" applyBorder="1" applyAlignment="1">
      <alignment horizontal="center"/>
    </xf>
    <xf numFmtId="0" fontId="34" fillId="34" borderId="66" xfId="0" applyFont="1" applyFill="1" applyBorder="1"/>
    <xf numFmtId="0" fontId="34" fillId="34" borderId="19" xfId="0" applyFont="1" applyFill="1" applyBorder="1"/>
    <xf numFmtId="166" fontId="33" fillId="34" borderId="14" xfId="2" applyNumberFormat="1" applyFont="1" applyFill="1" applyBorder="1" applyAlignment="1">
      <alignment horizontal="center"/>
    </xf>
    <xf numFmtId="166" fontId="33" fillId="34" borderId="16" xfId="2" applyNumberFormat="1" applyFont="1" applyFill="1" applyBorder="1" applyAlignment="1">
      <alignment horizontal="center"/>
    </xf>
    <xf numFmtId="0" fontId="33" fillId="34" borderId="5" xfId="0" applyFont="1" applyFill="1" applyBorder="1"/>
    <xf numFmtId="0" fontId="9" fillId="15" borderId="13" xfId="0" applyFont="1" applyFill="1" applyBorder="1"/>
    <xf numFmtId="167" fontId="9" fillId="15" borderId="3" xfId="0" applyNumberFormat="1" applyFont="1" applyFill="1" applyBorder="1" applyAlignment="1">
      <alignment horizontal="center"/>
    </xf>
    <xf numFmtId="21" fontId="35" fillId="0" borderId="0" xfId="0" applyNumberFormat="1" applyFont="1"/>
    <xf numFmtId="2" fontId="0" fillId="0" borderId="0" xfId="0" applyNumberFormat="1"/>
    <xf numFmtId="4" fontId="27" fillId="0" borderId="0" xfId="12" applyNumberFormat="1" applyFont="1" applyBorder="1"/>
    <xf numFmtId="167" fontId="27" fillId="19" borderId="19" xfId="27" applyNumberFormat="1" applyFont="1" applyBorder="1" applyAlignment="1">
      <alignment horizontal="center"/>
    </xf>
    <xf numFmtId="167" fontId="27" fillId="17" borderId="19" xfId="25" applyNumberFormat="1" applyFont="1" applyBorder="1" applyAlignment="1">
      <alignment horizontal="center"/>
    </xf>
    <xf numFmtId="0" fontId="29" fillId="27" borderId="76" xfId="12" applyFont="1" applyFill="1" applyBorder="1"/>
    <xf numFmtId="167" fontId="27" fillId="29" borderId="68" xfId="12" applyNumberFormat="1" applyFont="1" applyFill="1" applyBorder="1"/>
    <xf numFmtId="167" fontId="27" fillId="29" borderId="90" xfId="12" applyNumberFormat="1" applyFont="1" applyFill="1" applyBorder="1"/>
    <xf numFmtId="0" fontId="29" fillId="27" borderId="59" xfId="12" applyFont="1" applyFill="1" applyBorder="1"/>
    <xf numFmtId="167" fontId="27" fillId="29" borderId="21" xfId="12" applyNumberFormat="1" applyFont="1" applyFill="1" applyBorder="1"/>
    <xf numFmtId="167" fontId="27" fillId="29" borderId="46" xfId="12" applyNumberFormat="1" applyFont="1" applyFill="1" applyBorder="1"/>
    <xf numFmtId="165" fontId="9" fillId="35" borderId="16" xfId="1" applyNumberFormat="1" applyFont="1" applyFill="1" applyBorder="1" applyAlignment="1">
      <alignment horizontal="center"/>
    </xf>
    <xf numFmtId="166" fontId="9" fillId="35" borderId="18" xfId="2" applyNumberFormat="1" applyFont="1" applyFill="1" applyBorder="1" applyAlignment="1">
      <alignment horizontal="center"/>
    </xf>
    <xf numFmtId="166" fontId="9" fillId="35" borderId="16" xfId="2" applyNumberFormat="1" applyFont="1" applyFill="1" applyBorder="1" applyAlignment="1">
      <alignment horizontal="center"/>
    </xf>
    <xf numFmtId="167" fontId="29" fillId="19" borderId="66" xfId="27" applyNumberFormat="1" applyFont="1" applyBorder="1" applyAlignment="1">
      <alignment horizontal="center"/>
    </xf>
    <xf numFmtId="167" fontId="29" fillId="19" borderId="3" xfId="27" applyNumberFormat="1" applyFont="1" applyBorder="1" applyAlignment="1">
      <alignment horizontal="center"/>
    </xf>
    <xf numFmtId="167" fontId="29" fillId="17" borderId="66" xfId="25" applyNumberFormat="1" applyFont="1" applyBorder="1" applyAlignment="1">
      <alignment horizontal="center"/>
    </xf>
    <xf numFmtId="167" fontId="29" fillId="17" borderId="3" xfId="25" applyNumberFormat="1" applyFont="1" applyBorder="1" applyAlignment="1">
      <alignment horizontal="center"/>
    </xf>
    <xf numFmtId="0" fontId="29" fillId="0" borderId="0" xfId="13" applyFont="1"/>
    <xf numFmtId="166" fontId="9" fillId="24" borderId="16" xfId="2" applyNumberFormat="1" applyFont="1" applyFill="1" applyBorder="1"/>
    <xf numFmtId="166" fontId="9" fillId="23" borderId="83" xfId="2" applyNumberFormat="1" applyFont="1" applyFill="1" applyBorder="1" applyAlignment="1">
      <alignment horizontal="center"/>
    </xf>
    <xf numFmtId="166" fontId="9" fillId="23" borderId="87" xfId="2" applyNumberFormat="1" applyFont="1" applyFill="1" applyBorder="1" applyAlignment="1">
      <alignment horizontal="center"/>
    </xf>
    <xf numFmtId="166" fontId="9" fillId="23" borderId="89" xfId="2" applyNumberFormat="1" applyFont="1" applyFill="1" applyBorder="1" applyAlignment="1">
      <alignment horizontal="center"/>
    </xf>
    <xf numFmtId="166" fontId="34" fillId="34" borderId="19" xfId="0" applyNumberFormat="1" applyFont="1" applyFill="1" applyBorder="1"/>
    <xf numFmtId="166" fontId="0" fillId="0" borderId="0" xfId="2" applyNumberFormat="1" applyFont="1" applyFill="1" applyBorder="1"/>
    <xf numFmtId="167" fontId="9" fillId="23" borderId="8" xfId="4" applyNumberFormat="1" applyFont="1" applyFill="1" applyBorder="1" applyAlignment="1">
      <alignment horizontal="center"/>
    </xf>
    <xf numFmtId="167" fontId="9" fillId="3" borderId="61" xfId="4" applyNumberFormat="1" applyFont="1" applyFill="1" applyBorder="1" applyAlignment="1">
      <alignment horizontal="center"/>
    </xf>
    <xf numFmtId="166" fontId="10" fillId="24" borderId="48" xfId="2" applyNumberFormat="1" applyFont="1" applyFill="1" applyBorder="1" applyAlignment="1">
      <alignment horizontal="center"/>
    </xf>
    <xf numFmtId="167" fontId="9" fillId="3" borderId="66" xfId="4" applyNumberFormat="1" applyFont="1" applyFill="1" applyBorder="1" applyAlignment="1">
      <alignment horizontal="center"/>
    </xf>
    <xf numFmtId="167" fontId="9" fillId="8" borderId="74" xfId="4" applyNumberFormat="1" applyFont="1" applyFill="1" applyBorder="1" applyAlignment="1">
      <alignment horizontal="center"/>
    </xf>
    <xf numFmtId="167" fontId="9" fillId="8" borderId="55" xfId="4" applyNumberFormat="1" applyFont="1" applyFill="1" applyBorder="1" applyAlignment="1">
      <alignment horizontal="center"/>
    </xf>
    <xf numFmtId="167" fontId="9" fillId="8" borderId="8" xfId="4" applyNumberFormat="1" applyFont="1" applyFill="1" applyBorder="1" applyAlignment="1">
      <alignment horizontal="center"/>
    </xf>
    <xf numFmtId="167" fontId="9" fillId="15" borderId="4" xfId="0" applyNumberFormat="1" applyFont="1" applyFill="1" applyBorder="1" applyAlignment="1">
      <alignment horizontal="center"/>
    </xf>
    <xf numFmtId="167" fontId="9" fillId="15" borderId="5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44" fontId="9" fillId="36" borderId="4" xfId="4" applyFont="1" applyFill="1" applyBorder="1" applyAlignment="1">
      <alignment horizontal="center"/>
    </xf>
    <xf numFmtId="167" fontId="9" fillId="36" borderId="3" xfId="4" applyNumberFormat="1" applyFont="1" applyFill="1" applyBorder="1" applyAlignment="1">
      <alignment horizontal="center"/>
    </xf>
    <xf numFmtId="167" fontId="9" fillId="36" borderId="14" xfId="4" applyNumberFormat="1" applyFont="1" applyFill="1" applyBorder="1" applyAlignment="1">
      <alignment horizontal="center"/>
    </xf>
    <xf numFmtId="167" fontId="9" fillId="8" borderId="14" xfId="4" applyNumberFormat="1" applyFont="1" applyFill="1" applyBorder="1" applyAlignment="1">
      <alignment horizontal="center"/>
    </xf>
    <xf numFmtId="166" fontId="39" fillId="21" borderId="48" xfId="2" applyNumberFormat="1" applyFont="1" applyFill="1" applyBorder="1" applyAlignment="1">
      <alignment horizontal="center"/>
    </xf>
    <xf numFmtId="166" fontId="39" fillId="24" borderId="0" xfId="2" applyNumberFormat="1" applyFont="1" applyFill="1" applyBorder="1" applyAlignment="1">
      <alignment horizontal="center"/>
    </xf>
    <xf numFmtId="166" fontId="39" fillId="24" borderId="18" xfId="2" applyNumberFormat="1" applyFont="1" applyFill="1" applyBorder="1" applyAlignment="1">
      <alignment horizontal="center"/>
    </xf>
    <xf numFmtId="166" fontId="39" fillId="24" borderId="48" xfId="2" applyNumberFormat="1" applyFont="1" applyFill="1" applyBorder="1" applyAlignment="1">
      <alignment horizontal="center"/>
    </xf>
    <xf numFmtId="167" fontId="0" fillId="0" borderId="0" xfId="2" applyNumberFormat="1" applyFont="1"/>
    <xf numFmtId="172" fontId="29" fillId="33" borderId="3" xfId="12" applyNumberFormat="1" applyFont="1" applyFill="1" applyBorder="1" applyAlignment="1">
      <alignment horizontal="center"/>
    </xf>
    <xf numFmtId="166" fontId="10" fillId="33" borderId="48" xfId="2" applyNumberFormat="1" applyFont="1" applyFill="1" applyBorder="1" applyAlignment="1">
      <alignment horizontal="center"/>
    </xf>
    <xf numFmtId="166" fontId="10" fillId="33" borderId="50" xfId="2" applyNumberFormat="1" applyFont="1" applyFill="1" applyBorder="1" applyAlignment="1">
      <alignment horizontal="center"/>
    </xf>
    <xf numFmtId="166" fontId="9" fillId="33" borderId="50" xfId="2" applyNumberFormat="1" applyFont="1" applyFill="1" applyBorder="1" applyAlignment="1">
      <alignment horizontal="center"/>
    </xf>
    <xf numFmtId="165" fontId="9" fillId="33" borderId="3" xfId="1" applyNumberFormat="1" applyFont="1" applyFill="1" applyBorder="1" applyAlignment="1">
      <alignment horizontal="center"/>
    </xf>
    <xf numFmtId="166" fontId="9" fillId="33" borderId="16" xfId="2" applyNumberFormat="1" applyFont="1" applyFill="1" applyBorder="1" applyAlignment="1">
      <alignment horizontal="center"/>
    </xf>
    <xf numFmtId="165" fontId="9" fillId="33" borderId="4" xfId="1" applyNumberFormat="1" applyFont="1" applyFill="1" applyBorder="1" applyAlignment="1">
      <alignment horizontal="center"/>
    </xf>
    <xf numFmtId="166" fontId="10" fillId="33" borderId="8" xfId="2" applyNumberFormat="1" applyFont="1" applyFill="1" applyBorder="1"/>
    <xf numFmtId="166" fontId="9" fillId="33" borderId="4" xfId="2" applyNumberFormat="1" applyFont="1" applyFill="1" applyBorder="1"/>
    <xf numFmtId="166" fontId="10" fillId="33" borderId="19" xfId="2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166" fontId="27" fillId="24" borderId="0" xfId="2" applyNumberFormat="1" applyFont="1" applyFill="1" applyBorder="1" applyAlignment="1">
      <alignment horizontal="center"/>
    </xf>
    <xf numFmtId="166" fontId="27" fillId="24" borderId="11" xfId="2" applyNumberFormat="1" applyFont="1" applyFill="1" applyBorder="1" applyAlignment="1">
      <alignment horizontal="center"/>
    </xf>
    <xf numFmtId="166" fontId="29" fillId="23" borderId="83" xfId="2" applyNumberFormat="1" applyFont="1" applyFill="1" applyBorder="1" applyAlignment="1">
      <alignment horizontal="center"/>
    </xf>
    <xf numFmtId="166" fontId="27" fillId="24" borderId="18" xfId="2" applyNumberFormat="1" applyFont="1" applyFill="1" applyBorder="1" applyAlignment="1">
      <alignment horizontal="center"/>
    </xf>
    <xf numFmtId="166" fontId="29" fillId="23" borderId="87" xfId="2" applyNumberFormat="1" applyFont="1" applyFill="1" applyBorder="1" applyAlignment="1">
      <alignment horizontal="center"/>
    </xf>
    <xf numFmtId="166" fontId="27" fillId="24" borderId="48" xfId="2" applyNumberFormat="1" applyFont="1" applyFill="1" applyBorder="1" applyAlignment="1">
      <alignment horizontal="center"/>
    </xf>
    <xf numFmtId="166" fontId="29" fillId="23" borderId="89" xfId="2" applyNumberFormat="1" applyFont="1" applyFill="1" applyBorder="1" applyAlignment="1">
      <alignment horizontal="center"/>
    </xf>
    <xf numFmtId="166" fontId="29" fillId="24" borderId="16" xfId="2" applyNumberFormat="1" applyFont="1" applyFill="1" applyBorder="1" applyAlignment="1">
      <alignment horizontal="center"/>
    </xf>
    <xf numFmtId="166" fontId="27" fillId="24" borderId="19" xfId="2" applyNumberFormat="1" applyFont="1" applyFill="1" applyBorder="1" applyAlignment="1">
      <alignment horizontal="center"/>
    </xf>
    <xf numFmtId="166" fontId="9" fillId="24" borderId="18" xfId="2" applyNumberFormat="1" applyFont="1" applyFill="1" applyBorder="1" applyAlignment="1">
      <alignment horizontal="center"/>
    </xf>
    <xf numFmtId="166" fontId="27" fillId="24" borderId="50" xfId="2" applyNumberFormat="1" applyFont="1" applyFill="1" applyBorder="1" applyAlignment="1">
      <alignment horizontal="center"/>
    </xf>
    <xf numFmtId="166" fontId="10" fillId="24" borderId="50" xfId="2" applyNumberFormat="1" applyFont="1" applyFill="1" applyBorder="1" applyAlignment="1">
      <alignment horizontal="center"/>
    </xf>
    <xf numFmtId="165" fontId="9" fillId="24" borderId="3" xfId="1" applyNumberFormat="1" applyFont="1" applyFill="1" applyBorder="1" applyAlignment="1">
      <alignment horizontal="center"/>
    </xf>
    <xf numFmtId="166" fontId="27" fillId="24" borderId="17" xfId="2" applyNumberFormat="1" applyFont="1" applyFill="1" applyBorder="1" applyAlignment="1">
      <alignment horizontal="center"/>
    </xf>
    <xf numFmtId="166" fontId="10" fillId="24" borderId="17" xfId="2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164" fontId="10" fillId="0" borderId="61" xfId="0" applyNumberFormat="1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 horizontal="center"/>
    </xf>
    <xf numFmtId="167" fontId="10" fillId="22" borderId="41" xfId="0" applyNumberFormat="1" applyFont="1" applyFill="1" applyBorder="1" applyAlignment="1">
      <alignment horizontal="center"/>
    </xf>
    <xf numFmtId="44" fontId="10" fillId="0" borderId="88" xfId="4" applyFont="1" applyFill="1" applyBorder="1"/>
    <xf numFmtId="167" fontId="10" fillId="0" borderId="55" xfId="4" applyNumberFormat="1" applyFont="1" applyFill="1" applyBorder="1" applyAlignment="1">
      <alignment horizontal="center"/>
    </xf>
    <xf numFmtId="167" fontId="9" fillId="8" borderId="61" xfId="4" applyNumberFormat="1" applyFont="1" applyFill="1" applyBorder="1" applyAlignment="1">
      <alignment horizontal="center"/>
    </xf>
    <xf numFmtId="166" fontId="29" fillId="23" borderId="91" xfId="2" applyNumberFormat="1" applyFont="1" applyFill="1" applyBorder="1" applyAlignment="1">
      <alignment horizontal="center"/>
    </xf>
    <xf numFmtId="166" fontId="29" fillId="23" borderId="92" xfId="2" applyNumberFormat="1" applyFont="1" applyFill="1" applyBorder="1" applyAlignment="1">
      <alignment horizontal="center"/>
    </xf>
    <xf numFmtId="167" fontId="9" fillId="22" borderId="8" xfId="4" applyNumberFormat="1" applyFont="1" applyFill="1" applyBorder="1" applyAlignment="1">
      <alignment horizontal="center"/>
    </xf>
    <xf numFmtId="167" fontId="10" fillId="0" borderId="80" xfId="4" applyNumberFormat="1" applyFont="1" applyFill="1" applyBorder="1" applyAlignment="1">
      <alignment horizontal="center"/>
    </xf>
    <xf numFmtId="167" fontId="10" fillId="0" borderId="61" xfId="4" applyNumberFormat="1" applyFont="1" applyBorder="1" applyAlignment="1">
      <alignment horizontal="center"/>
    </xf>
    <xf numFmtId="167" fontId="10" fillId="0" borderId="85" xfId="4" applyNumberFormat="1" applyFont="1" applyFill="1" applyBorder="1" applyAlignment="1">
      <alignment horizontal="center"/>
    </xf>
    <xf numFmtId="167" fontId="9" fillId="36" borderId="58" xfId="4" applyNumberFormat="1" applyFont="1" applyFill="1" applyBorder="1" applyAlignment="1">
      <alignment horizontal="center"/>
    </xf>
    <xf numFmtId="166" fontId="9" fillId="33" borderId="89" xfId="2" applyNumberFormat="1" applyFont="1" applyFill="1" applyBorder="1" applyAlignment="1">
      <alignment horizontal="center"/>
    </xf>
    <xf numFmtId="167" fontId="9" fillId="37" borderId="61" xfId="4" applyNumberFormat="1" applyFont="1" applyFill="1" applyBorder="1" applyAlignment="1">
      <alignment horizontal="center"/>
    </xf>
    <xf numFmtId="175" fontId="10" fillId="0" borderId="8" xfId="0" applyNumberFormat="1" applyFont="1" applyFill="1" applyBorder="1" applyAlignment="1">
      <alignment horizontal="center"/>
    </xf>
    <xf numFmtId="175" fontId="10" fillId="0" borderId="8" xfId="1" applyNumberFormat="1" applyFont="1" applyFill="1" applyBorder="1" applyAlignment="1">
      <alignment horizontal="center"/>
    </xf>
    <xf numFmtId="175" fontId="10" fillId="0" borderId="61" xfId="0" applyNumberFormat="1" applyFont="1" applyFill="1" applyBorder="1" applyAlignment="1">
      <alignment horizontal="center"/>
    </xf>
    <xf numFmtId="175" fontId="9" fillId="23" borderId="80" xfId="4" applyNumberFormat="1" applyFont="1" applyFill="1" applyBorder="1" applyAlignment="1">
      <alignment horizontal="center"/>
    </xf>
    <xf numFmtId="167" fontId="9" fillId="23" borderId="54" xfId="4" applyNumberFormat="1" applyFont="1" applyFill="1" applyBorder="1" applyAlignment="1">
      <alignment horizontal="center"/>
    </xf>
    <xf numFmtId="166" fontId="29" fillId="23" borderId="93" xfId="2" applyNumberFormat="1" applyFont="1" applyFill="1" applyBorder="1" applyAlignment="1">
      <alignment horizontal="center"/>
    </xf>
    <xf numFmtId="44" fontId="9" fillId="36" borderId="44" xfId="4" applyFont="1" applyFill="1" applyBorder="1" applyAlignment="1">
      <alignment horizontal="center"/>
    </xf>
    <xf numFmtId="166" fontId="9" fillId="24" borderId="46" xfId="2" applyNumberFormat="1" applyFont="1" applyFill="1" applyBorder="1"/>
    <xf numFmtId="166" fontId="29" fillId="24" borderId="46" xfId="2" applyNumberFormat="1" applyFont="1" applyFill="1" applyBorder="1" applyAlignment="1">
      <alignment horizontal="center"/>
    </xf>
    <xf numFmtId="0" fontId="43" fillId="0" borderId="0" xfId="0" applyFont="1" applyFill="1"/>
    <xf numFmtId="0" fontId="29" fillId="24" borderId="92" xfId="2" applyNumberFormat="1" applyFont="1" applyFill="1" applyBorder="1" applyAlignment="1">
      <alignment horizontal="center"/>
    </xf>
    <xf numFmtId="164" fontId="10" fillId="22" borderId="41" xfId="0" applyNumberFormat="1" applyFont="1" applyFill="1" applyBorder="1" applyAlignment="1">
      <alignment horizontal="center"/>
    </xf>
    <xf numFmtId="166" fontId="29" fillId="24" borderId="48" xfId="2" applyNumberFormat="1" applyFont="1" applyFill="1" applyBorder="1" applyAlignment="1">
      <alignment horizontal="center"/>
    </xf>
    <xf numFmtId="166" fontId="29" fillId="24" borderId="50" xfId="2" applyNumberFormat="1" applyFont="1" applyFill="1" applyBorder="1" applyAlignment="1">
      <alignment horizontal="center"/>
    </xf>
    <xf numFmtId="166" fontId="29" fillId="24" borderId="92" xfId="2" applyNumberFormat="1" applyFont="1" applyFill="1" applyBorder="1" applyAlignment="1">
      <alignment horizontal="center"/>
    </xf>
    <xf numFmtId="167" fontId="9" fillId="22" borderId="14" xfId="4" applyNumberFormat="1" applyFont="1" applyFill="1" applyBorder="1" applyAlignment="1">
      <alignment horizontal="center"/>
    </xf>
    <xf numFmtId="44" fontId="9" fillId="22" borderId="3" xfId="4" applyFont="1" applyFill="1" applyBorder="1" applyAlignment="1">
      <alignment horizontal="center"/>
    </xf>
    <xf numFmtId="166" fontId="9" fillId="33" borderId="18" xfId="2" applyNumberFormat="1" applyFont="1" applyFill="1" applyBorder="1" applyAlignment="1">
      <alignment horizontal="center"/>
    </xf>
    <xf numFmtId="167" fontId="9" fillId="38" borderId="61" xfId="4" applyNumberFormat="1" applyFont="1" applyFill="1" applyBorder="1" applyAlignment="1">
      <alignment horizontal="center"/>
    </xf>
    <xf numFmtId="167" fontId="9" fillId="38" borderId="55" xfId="4" applyNumberFormat="1" applyFont="1" applyFill="1" applyBorder="1" applyAlignment="1">
      <alignment horizontal="center"/>
    </xf>
    <xf numFmtId="166" fontId="9" fillId="33" borderId="48" xfId="2" applyNumberFormat="1" applyFont="1" applyFill="1" applyBorder="1" applyAlignment="1">
      <alignment horizontal="center"/>
    </xf>
    <xf numFmtId="166" fontId="10" fillId="33" borderId="94" xfId="2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6" fillId="28" borderId="0" xfId="0" applyFont="1" applyFill="1" applyAlignment="1">
      <alignment horizontal="center"/>
    </xf>
    <xf numFmtId="0" fontId="38" fillId="0" borderId="68" xfId="32" applyBorder="1" applyAlignment="1">
      <alignment horizontal="center"/>
    </xf>
    <xf numFmtId="0" fontId="0" fillId="0" borderId="68" xfId="0" applyBorder="1" applyAlignment="1">
      <alignment horizontal="center"/>
    </xf>
    <xf numFmtId="0" fontId="31" fillId="28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28" fillId="25" borderId="0" xfId="12" quotePrefix="1" applyFont="1" applyFill="1" applyAlignment="1">
      <alignment horizontal="center"/>
    </xf>
    <xf numFmtId="0" fontId="37" fillId="18" borderId="59" xfId="26" applyFont="1" applyBorder="1" applyAlignment="1">
      <alignment horizontal="center"/>
    </xf>
    <xf numFmtId="0" fontId="37" fillId="18" borderId="21" xfId="26" applyFont="1" applyBorder="1" applyAlignment="1">
      <alignment horizontal="center"/>
    </xf>
    <xf numFmtId="0" fontId="37" fillId="18" borderId="46" xfId="26" applyFont="1" applyBorder="1" applyAlignment="1">
      <alignment horizontal="center"/>
    </xf>
    <xf numFmtId="167" fontId="29" fillId="19" borderId="59" xfId="27" applyNumberFormat="1" applyFont="1" applyBorder="1" applyAlignment="1">
      <alignment horizontal="center"/>
    </xf>
    <xf numFmtId="167" fontId="29" fillId="19" borderId="39" xfId="27" applyNumberFormat="1" applyFont="1" applyBorder="1" applyAlignment="1">
      <alignment horizontal="center"/>
    </xf>
    <xf numFmtId="167" fontId="37" fillId="16" borderId="59" xfId="24" applyNumberFormat="1" applyFont="1" applyBorder="1" applyAlignment="1">
      <alignment horizontal="center"/>
    </xf>
    <xf numFmtId="167" fontId="37" fillId="16" borderId="21" xfId="24" applyNumberFormat="1" applyFont="1" applyBorder="1" applyAlignment="1">
      <alignment horizontal="center"/>
    </xf>
    <xf numFmtId="167" fontId="37" fillId="16" borderId="46" xfId="24" applyNumberFormat="1" applyFont="1" applyBorder="1" applyAlignment="1">
      <alignment horizontal="center"/>
    </xf>
    <xf numFmtId="167" fontId="29" fillId="17" borderId="59" xfId="25" applyNumberFormat="1" applyFont="1" applyBorder="1" applyAlignment="1">
      <alignment horizontal="center"/>
    </xf>
    <xf numFmtId="167" fontId="29" fillId="17" borderId="39" xfId="25" applyNumberFormat="1" applyFont="1" applyBorder="1" applyAlignment="1">
      <alignment horizontal="center"/>
    </xf>
    <xf numFmtId="0" fontId="26" fillId="18" borderId="59" xfId="26" applyBorder="1" applyAlignment="1">
      <alignment horizontal="center"/>
    </xf>
    <xf numFmtId="0" fontId="26" fillId="18" borderId="21" xfId="26" applyBorder="1" applyAlignment="1">
      <alignment horizontal="center"/>
    </xf>
    <xf numFmtId="0" fontId="26" fillId="18" borderId="46" xfId="26" applyBorder="1" applyAlignment="1">
      <alignment horizontal="center"/>
    </xf>
    <xf numFmtId="167" fontId="26" fillId="16" borderId="59" xfId="24" applyNumberFormat="1" applyBorder="1" applyAlignment="1">
      <alignment horizontal="center"/>
    </xf>
    <xf numFmtId="167" fontId="26" fillId="16" borderId="21" xfId="24" applyNumberFormat="1" applyBorder="1" applyAlignment="1">
      <alignment horizontal="center"/>
    </xf>
    <xf numFmtId="167" fontId="26" fillId="16" borderId="46" xfId="24" applyNumberFormat="1" applyBorder="1" applyAlignment="1">
      <alignment horizontal="center"/>
    </xf>
    <xf numFmtId="0" fontId="30" fillId="20" borderId="0" xfId="0" applyFont="1" applyFill="1" applyAlignment="1">
      <alignment horizontal="center"/>
    </xf>
    <xf numFmtId="0" fontId="30" fillId="31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0" fillId="32" borderId="0" xfId="0" applyFont="1" applyFill="1" applyAlignment="1">
      <alignment horizontal="center"/>
    </xf>
    <xf numFmtId="0" fontId="30" fillId="24" borderId="0" xfId="0" applyFont="1" applyFill="1" applyAlignment="1">
      <alignment horizontal="center"/>
    </xf>
    <xf numFmtId="167" fontId="9" fillId="3" borderId="61" xfId="0" applyNumberFormat="1" applyFont="1" applyFill="1" applyBorder="1" applyAlignment="1">
      <alignment horizontal="center"/>
    </xf>
    <xf numFmtId="0" fontId="0" fillId="0" borderId="0" xfId="0" applyAlignment="1"/>
  </cellXfs>
  <cellStyles count="66">
    <cellStyle name="40% - Accent1" xfId="25" builtinId="31"/>
    <cellStyle name="40% - Accent2" xfId="27" builtinId="35"/>
    <cellStyle name="Accent1" xfId="24" builtinId="29"/>
    <cellStyle name="Accent2" xfId="26" builtinId="33"/>
    <cellStyle name="Comma" xfId="3" builtinId="3"/>
    <cellStyle name="Comma 2" xfId="5"/>
    <cellStyle name="Currency" xfId="1" builtinId="4"/>
    <cellStyle name="Currency 2" xfId="4"/>
    <cellStyle name="Currency 3" xfId="6"/>
    <cellStyle name="Currency 3 2" xfId="15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Hyperlink" xfId="32" builtinId="8"/>
    <cellStyle name="Normal" xfId="0" builtinId="0"/>
    <cellStyle name="Normal 2" xfId="7"/>
    <cellStyle name="Normal 2 2" xfId="8"/>
    <cellStyle name="Normal 2 2 2" xfId="12"/>
    <cellStyle name="Normal 2 2 2 2" xfId="21"/>
    <cellStyle name="Normal 2 2 3" xfId="17"/>
    <cellStyle name="Normal 2 3" xfId="16"/>
    <cellStyle name="Normal 3" xfId="9"/>
    <cellStyle name="Normal 3 2" xfId="13"/>
    <cellStyle name="Normal 3 2 2" xfId="22"/>
    <cellStyle name="Normal 3 3" xfId="18"/>
    <cellStyle name="Normal 4" xfId="28"/>
    <cellStyle name="Normal 5" xfId="29"/>
    <cellStyle name="Normal 6" xfId="30"/>
    <cellStyle name="Normal 7" xfId="31"/>
    <cellStyle name="Percent" xfId="2" builtinId="5"/>
    <cellStyle name="Percent 2" xfId="10"/>
    <cellStyle name="Percent 2 2" xfId="11"/>
    <cellStyle name="Percent 2 2 2" xfId="14"/>
    <cellStyle name="Percent 2 2 2 2" xfId="23"/>
    <cellStyle name="Percent 2 2 3" xfId="20"/>
    <cellStyle name="Percent 2 3" xfId="19"/>
  </cellStyles>
  <dxfs count="16">
    <dxf>
      <font>
        <color rgb="FFFF0000"/>
      </font>
    </dxf>
    <dxf>
      <font>
        <color rgb="FFFF0000"/>
      </font>
    </dxf>
    <dxf>
      <font>
        <color rgb="FF00B05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theme="7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0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worksheet" Target="worksheets/sheet52.xml"/><Relationship Id="rId53" Type="http://schemas.openxmlformats.org/officeDocument/2006/relationships/worksheet" Target="worksheets/sheet53.xml"/><Relationship Id="rId54" Type="http://schemas.openxmlformats.org/officeDocument/2006/relationships/worksheet" Target="worksheets/sheet54.xml"/><Relationship Id="rId55" Type="http://schemas.openxmlformats.org/officeDocument/2006/relationships/worksheet" Target="worksheets/sheet55.xml"/><Relationship Id="rId56" Type="http://schemas.openxmlformats.org/officeDocument/2006/relationships/worksheet" Target="worksheets/sheet56.xml"/><Relationship Id="rId57" Type="http://schemas.openxmlformats.org/officeDocument/2006/relationships/worksheet" Target="worksheets/sheet57.xml"/><Relationship Id="rId58" Type="http://schemas.openxmlformats.org/officeDocument/2006/relationships/worksheet" Target="worksheets/sheet58.xml"/><Relationship Id="rId59" Type="http://schemas.openxmlformats.org/officeDocument/2006/relationships/worksheet" Target="worksheets/sheet59.xml"/><Relationship Id="rId70" Type="http://schemas.openxmlformats.org/officeDocument/2006/relationships/worksheet" Target="worksheets/sheet70.xml"/><Relationship Id="rId71" Type="http://schemas.openxmlformats.org/officeDocument/2006/relationships/worksheet" Target="worksheets/sheet71.xml"/><Relationship Id="rId72" Type="http://schemas.openxmlformats.org/officeDocument/2006/relationships/worksheet" Target="worksheets/sheet72.xml"/><Relationship Id="rId73" Type="http://schemas.openxmlformats.org/officeDocument/2006/relationships/worksheet" Target="worksheets/sheet73.xml"/><Relationship Id="rId74" Type="http://schemas.openxmlformats.org/officeDocument/2006/relationships/worksheet" Target="worksheets/sheet74.xml"/><Relationship Id="rId75" Type="http://schemas.openxmlformats.org/officeDocument/2006/relationships/worksheet" Target="worksheets/sheet75.xml"/><Relationship Id="rId76" Type="http://schemas.openxmlformats.org/officeDocument/2006/relationships/worksheet" Target="worksheets/sheet76.xml"/><Relationship Id="rId77" Type="http://schemas.openxmlformats.org/officeDocument/2006/relationships/worksheet" Target="worksheets/sheet77.xml"/><Relationship Id="rId78" Type="http://schemas.openxmlformats.org/officeDocument/2006/relationships/worksheet" Target="worksheets/sheet78.xml"/><Relationship Id="rId79" Type="http://schemas.openxmlformats.org/officeDocument/2006/relationships/worksheet" Target="worksheets/sheet79.xml"/><Relationship Id="rId90" Type="http://schemas.openxmlformats.org/officeDocument/2006/relationships/worksheet" Target="worksheets/sheet90.xml"/><Relationship Id="rId91" Type="http://schemas.openxmlformats.org/officeDocument/2006/relationships/worksheet" Target="worksheets/sheet91.xml"/><Relationship Id="rId92" Type="http://schemas.openxmlformats.org/officeDocument/2006/relationships/worksheet" Target="worksheets/sheet92.xml"/><Relationship Id="rId93" Type="http://schemas.openxmlformats.org/officeDocument/2006/relationships/worksheet" Target="worksheets/sheet93.xml"/><Relationship Id="rId94" Type="http://schemas.openxmlformats.org/officeDocument/2006/relationships/worksheet" Target="worksheets/sheet94.xml"/><Relationship Id="rId95" Type="http://schemas.openxmlformats.org/officeDocument/2006/relationships/worksheet" Target="worksheets/sheet95.xml"/><Relationship Id="rId96" Type="http://schemas.openxmlformats.org/officeDocument/2006/relationships/worksheet" Target="worksheets/sheet96.xml"/><Relationship Id="rId97" Type="http://schemas.openxmlformats.org/officeDocument/2006/relationships/worksheet" Target="worksheets/sheet97.xml"/><Relationship Id="rId98" Type="http://schemas.openxmlformats.org/officeDocument/2006/relationships/theme" Target="theme/theme1.xml"/><Relationship Id="rId99" Type="http://schemas.openxmlformats.org/officeDocument/2006/relationships/styles" Target="styles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60" Type="http://schemas.openxmlformats.org/officeDocument/2006/relationships/worksheet" Target="worksheets/sheet60.xml"/><Relationship Id="rId61" Type="http://schemas.openxmlformats.org/officeDocument/2006/relationships/worksheet" Target="worksheets/sheet61.xml"/><Relationship Id="rId62" Type="http://schemas.openxmlformats.org/officeDocument/2006/relationships/worksheet" Target="worksheets/sheet62.xml"/><Relationship Id="rId63" Type="http://schemas.openxmlformats.org/officeDocument/2006/relationships/worksheet" Target="worksheets/sheet63.xml"/><Relationship Id="rId64" Type="http://schemas.openxmlformats.org/officeDocument/2006/relationships/worksheet" Target="worksheets/sheet64.xml"/><Relationship Id="rId65" Type="http://schemas.openxmlformats.org/officeDocument/2006/relationships/worksheet" Target="worksheets/sheet65.xml"/><Relationship Id="rId66" Type="http://schemas.openxmlformats.org/officeDocument/2006/relationships/worksheet" Target="worksheets/sheet66.xml"/><Relationship Id="rId67" Type="http://schemas.openxmlformats.org/officeDocument/2006/relationships/worksheet" Target="worksheets/sheet67.xml"/><Relationship Id="rId68" Type="http://schemas.openxmlformats.org/officeDocument/2006/relationships/worksheet" Target="worksheets/sheet68.xml"/><Relationship Id="rId69" Type="http://schemas.openxmlformats.org/officeDocument/2006/relationships/worksheet" Target="worksheets/sheet69.xml"/><Relationship Id="rId100" Type="http://schemas.openxmlformats.org/officeDocument/2006/relationships/sharedStrings" Target="sharedStrings.xml"/><Relationship Id="rId80" Type="http://schemas.openxmlformats.org/officeDocument/2006/relationships/worksheet" Target="worksheets/sheet80.xml"/><Relationship Id="rId81" Type="http://schemas.openxmlformats.org/officeDocument/2006/relationships/worksheet" Target="worksheets/sheet81.xml"/><Relationship Id="rId82" Type="http://schemas.openxmlformats.org/officeDocument/2006/relationships/worksheet" Target="worksheets/sheet82.xml"/><Relationship Id="rId83" Type="http://schemas.openxmlformats.org/officeDocument/2006/relationships/worksheet" Target="worksheets/sheet83.xml"/><Relationship Id="rId84" Type="http://schemas.openxmlformats.org/officeDocument/2006/relationships/worksheet" Target="worksheets/sheet84.xml"/><Relationship Id="rId85" Type="http://schemas.openxmlformats.org/officeDocument/2006/relationships/worksheet" Target="worksheets/sheet85.xml"/><Relationship Id="rId86" Type="http://schemas.openxmlformats.org/officeDocument/2006/relationships/worksheet" Target="worksheets/sheet86.xml"/><Relationship Id="rId87" Type="http://schemas.openxmlformats.org/officeDocument/2006/relationships/worksheet" Target="worksheets/sheet87.xml"/><Relationship Id="rId88" Type="http://schemas.openxmlformats.org/officeDocument/2006/relationships/worksheet" Target="worksheets/sheet88.xml"/><Relationship Id="rId89" Type="http://schemas.openxmlformats.org/officeDocument/2006/relationships/worksheet" Target="worksheets/sheet8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County Tourism Taxes (TRT &amp; R &amp; CR)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2017'!$N$3</c:f>
              <c:strCache>
                <c:ptCount val="1"/>
                <c:pt idx="0">
                  <c:v>YTD 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#County Tourism Taxes (TRT &amp; R &amp; CR)</c:v>
              </c:pt>
            </c:strLit>
          </c:cat>
          <c:val>
            <c:numRef>
              <c:f>'TOTAL 2017'!$N$33</c:f>
              <c:numCache>
                <c:formatCode>"$"#,##0</c:formatCode>
                <c:ptCount val="1"/>
                <c:pt idx="0">
                  <c:v>9.739755604E7</c:v>
                </c:pt>
              </c:numCache>
            </c:numRef>
          </c:val>
        </c:ser>
        <c:ser>
          <c:idx val="1"/>
          <c:order val="1"/>
          <c:tx>
            <c:strRef>
              <c:f>'TOTAL 2017'!$O$3</c:f>
              <c:strCache>
                <c:ptCount val="1"/>
                <c:pt idx="0">
                  <c:v>YTD 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#County Tourism Taxes (TRT &amp; R &amp; CR)</c:v>
              </c:pt>
            </c:strLit>
          </c:cat>
          <c:val>
            <c:numRef>
              <c:f>'TOTAL 2017'!$O$33</c:f>
              <c:numCache>
                <c:formatCode>"$"#,##0</c:formatCode>
                <c:ptCount val="1"/>
                <c:pt idx="0">
                  <c:v>8.8959490071E7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-48"/>
        <c:axId val="-2098786504"/>
        <c:axId val="-2098783384"/>
      </c:barChart>
      <c:barChart>
        <c:barDir val="col"/>
        <c:grouping val="clustered"/>
        <c:varyColors val="0"/>
        <c:ser>
          <c:idx val="2"/>
          <c:order val="2"/>
          <c:tx>
            <c:strRef>
              <c:f>'TOTAL 2017'!$P$3</c:f>
              <c:strCache>
                <c:ptCount val="1"/>
                <c:pt idx="0">
                  <c:v>% CHANGE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/>
              <c:numFmt formatCode="0.0%" sourceLinked="0"/>
              <c:spPr>
                <a:solidFill>
                  <a:schemeClr val="accent3">
                    <a:lumMod val="75000"/>
                  </a:schemeClr>
                </a:solidFill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solidFill>
                <a:schemeClr val="accent3">
                  <a:lumMod val="75000"/>
                </a:schemeClr>
              </a:solidFill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County Tourism Taxes (TRT &amp; R &amp; CR)</c:v>
              </c:pt>
            </c:strLit>
          </c:cat>
          <c:val>
            <c:numRef>
              <c:f>'TOTAL 2017'!$P$33</c:f>
              <c:numCache>
                <c:formatCode>0.0%</c:formatCode>
                <c:ptCount val="1"/>
                <c:pt idx="0">
                  <c:v>0.094852903970846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48"/>
        <c:axId val="-2098777304"/>
        <c:axId val="-2098780312"/>
      </c:barChart>
      <c:catAx>
        <c:axId val="-209878650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-2098783384"/>
        <c:crosses val="autoZero"/>
        <c:auto val="1"/>
        <c:lblAlgn val="ctr"/>
        <c:lblOffset val="100"/>
        <c:noMultiLvlLbl val="0"/>
      </c:catAx>
      <c:valAx>
        <c:axId val="-2098783384"/>
        <c:scaling>
          <c:orientation val="minMax"/>
        </c:scaling>
        <c:delete val="1"/>
        <c:axPos val="l"/>
        <c:numFmt formatCode="&quot;$&quot;#,##0" sourceLinked="1"/>
        <c:majorTickMark val="none"/>
        <c:minorTickMark val="none"/>
        <c:tickLblPos val="nextTo"/>
        <c:crossAx val="-2098786504"/>
        <c:crosses val="autoZero"/>
        <c:crossBetween val="between"/>
      </c:valAx>
      <c:valAx>
        <c:axId val="-2098780312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-2098777304"/>
        <c:crosses val="max"/>
        <c:crossBetween val="between"/>
      </c:valAx>
      <c:catAx>
        <c:axId val="-209877730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-2098780312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Short-term Leasing Tax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2017'!$N$3</c:f>
              <c:strCache>
                <c:ptCount val="1"/>
                <c:pt idx="0">
                  <c:v>YTD 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#County Tourism Taxes (TRT &amp; R &amp; CR)</c:v>
              </c:pt>
            </c:strLit>
          </c:cat>
          <c:val>
            <c:numRef>
              <c:f>'CR 2017'!$O$14</c:f>
              <c:numCache>
                <c:formatCode>"$"#,##0</c:formatCode>
                <c:ptCount val="1"/>
                <c:pt idx="0">
                  <c:v>1.254933834E7</c:v>
                </c:pt>
              </c:numCache>
            </c:numRef>
          </c:val>
        </c:ser>
        <c:ser>
          <c:idx val="1"/>
          <c:order val="1"/>
          <c:tx>
            <c:strRef>
              <c:f>'TOTAL 2017'!$O$3</c:f>
              <c:strCache>
                <c:ptCount val="1"/>
                <c:pt idx="0">
                  <c:v>YTD 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#County Tourism Taxes (TRT &amp; R &amp; CR)</c:v>
              </c:pt>
            </c:strLit>
          </c:cat>
          <c:val>
            <c:numRef>
              <c:f>'CR 2017'!$P$14</c:f>
              <c:numCache>
                <c:formatCode>"$"#,##0</c:formatCode>
                <c:ptCount val="1"/>
                <c:pt idx="0">
                  <c:v>1.162772368E7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-48"/>
        <c:axId val="-2098724312"/>
        <c:axId val="-2098721192"/>
      </c:barChart>
      <c:barChart>
        <c:barDir val="col"/>
        <c:grouping val="clustered"/>
        <c:varyColors val="0"/>
        <c:ser>
          <c:idx val="2"/>
          <c:order val="2"/>
          <c:tx>
            <c:strRef>
              <c:f>'TOTAL 2017'!$P$3</c:f>
              <c:strCache>
                <c:ptCount val="1"/>
                <c:pt idx="0">
                  <c:v>% CHANGE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/>
              <c:numFmt formatCode="0.0%" sourceLinked="0"/>
              <c:spPr>
                <a:solidFill>
                  <a:schemeClr val="accent3">
                    <a:lumMod val="75000"/>
                  </a:schemeClr>
                </a:solidFill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solidFill>
                <a:schemeClr val="accent3">
                  <a:lumMod val="75000"/>
                </a:schemeClr>
              </a:solidFill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County Tourism Taxes (TRT &amp; R &amp; CR)</c:v>
              </c:pt>
            </c:strLit>
          </c:cat>
          <c:val>
            <c:numRef>
              <c:f>'CR 2017'!$Q$14</c:f>
              <c:numCache>
                <c:formatCode>0.0%</c:formatCode>
                <c:ptCount val="1"/>
                <c:pt idx="0">
                  <c:v>0.0792601101783317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48"/>
        <c:axId val="-2098715112"/>
        <c:axId val="-2098718120"/>
      </c:barChart>
      <c:catAx>
        <c:axId val="-2098724312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-2098721192"/>
        <c:crosses val="autoZero"/>
        <c:auto val="1"/>
        <c:lblAlgn val="ctr"/>
        <c:lblOffset val="100"/>
        <c:noMultiLvlLbl val="0"/>
      </c:catAx>
      <c:valAx>
        <c:axId val="-2098721192"/>
        <c:scaling>
          <c:orientation val="minMax"/>
        </c:scaling>
        <c:delete val="1"/>
        <c:axPos val="l"/>
        <c:numFmt formatCode="&quot;$&quot;#,##0" sourceLinked="1"/>
        <c:majorTickMark val="none"/>
        <c:minorTickMark val="none"/>
        <c:tickLblPos val="nextTo"/>
        <c:crossAx val="-2098724312"/>
        <c:crosses val="autoZero"/>
        <c:crossBetween val="between"/>
      </c:valAx>
      <c:valAx>
        <c:axId val="-2098718120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-2098715112"/>
        <c:crosses val="max"/>
        <c:crossBetween val="between"/>
      </c:valAx>
      <c:catAx>
        <c:axId val="-209871511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-2098718120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Restaurant Tax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2017'!$N$3</c:f>
              <c:strCache>
                <c:ptCount val="1"/>
                <c:pt idx="0">
                  <c:v>YTD 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 2017'!$A$1:$P$1</c:f>
              <c:strCache>
                <c:ptCount val="1"/>
                <c:pt idx="0">
                  <c:v>Restaurant Tax Distribution - 2017</c:v>
                </c:pt>
              </c:strCache>
            </c:strRef>
          </c:cat>
          <c:val>
            <c:numRef>
              <c:f>'R 2017'!$N$32</c:f>
              <c:numCache>
                <c:formatCode>"$"#,##0</c:formatCode>
                <c:ptCount val="1"/>
                <c:pt idx="0">
                  <c:v>3.903669993E7</c:v>
                </c:pt>
              </c:numCache>
            </c:numRef>
          </c:val>
        </c:ser>
        <c:ser>
          <c:idx val="1"/>
          <c:order val="1"/>
          <c:tx>
            <c:strRef>
              <c:f>'TOTAL 2017'!$O$3</c:f>
              <c:strCache>
                <c:ptCount val="1"/>
                <c:pt idx="0">
                  <c:v>YTD 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 2017'!$A$1:$P$1</c:f>
              <c:strCache>
                <c:ptCount val="1"/>
                <c:pt idx="0">
                  <c:v>Restaurant Tax Distribution - 2017</c:v>
                </c:pt>
              </c:strCache>
            </c:strRef>
          </c:cat>
          <c:val>
            <c:numRef>
              <c:f>'R 2017'!$O$32</c:f>
              <c:numCache>
                <c:formatCode>"$"#,##0</c:formatCode>
                <c:ptCount val="1"/>
                <c:pt idx="0">
                  <c:v>3.7082181841E7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-48"/>
        <c:axId val="-2098669656"/>
        <c:axId val="-2098666536"/>
      </c:barChart>
      <c:barChart>
        <c:barDir val="col"/>
        <c:grouping val="clustered"/>
        <c:varyColors val="0"/>
        <c:ser>
          <c:idx val="2"/>
          <c:order val="2"/>
          <c:tx>
            <c:strRef>
              <c:f>'TOTAL 2017'!$P$3</c:f>
              <c:strCache>
                <c:ptCount val="1"/>
                <c:pt idx="0">
                  <c:v>% CHANGE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/>
              <c:numFmt formatCode="0.0%" sourceLinked="0"/>
              <c:spPr>
                <a:solidFill>
                  <a:schemeClr val="accent3">
                    <a:lumMod val="75000"/>
                  </a:schemeClr>
                </a:solidFill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solidFill>
                <a:schemeClr val="accent3">
                  <a:lumMod val="75000"/>
                </a:schemeClr>
              </a:solidFill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 2017'!$A$1:$P$1</c:f>
              <c:strCache>
                <c:ptCount val="1"/>
                <c:pt idx="0">
                  <c:v>Restaurant Tax Distribution - 2017</c:v>
                </c:pt>
              </c:strCache>
            </c:strRef>
          </c:cat>
          <c:val>
            <c:numRef>
              <c:f>'R 2017'!$P$32</c:f>
              <c:numCache>
                <c:formatCode>0.0%</c:formatCode>
                <c:ptCount val="1"/>
                <c:pt idx="0">
                  <c:v>0.0527077424241249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48"/>
        <c:axId val="-2098660456"/>
        <c:axId val="-2098663464"/>
      </c:barChart>
      <c:catAx>
        <c:axId val="-2098669656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-2098666536"/>
        <c:crosses val="autoZero"/>
        <c:auto val="1"/>
        <c:lblAlgn val="ctr"/>
        <c:lblOffset val="100"/>
        <c:noMultiLvlLbl val="0"/>
      </c:catAx>
      <c:valAx>
        <c:axId val="-2098666536"/>
        <c:scaling>
          <c:orientation val="minMax"/>
        </c:scaling>
        <c:delete val="1"/>
        <c:axPos val="l"/>
        <c:numFmt formatCode="&quot;$&quot;#,##0" sourceLinked="1"/>
        <c:majorTickMark val="none"/>
        <c:minorTickMark val="none"/>
        <c:tickLblPos val="nextTo"/>
        <c:crossAx val="-2098669656"/>
        <c:crosses val="autoZero"/>
        <c:crossBetween val="between"/>
      </c:valAx>
      <c:valAx>
        <c:axId val="-2098663464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-2098660456"/>
        <c:crosses val="max"/>
        <c:crossBetween val="between"/>
      </c:valAx>
      <c:catAx>
        <c:axId val="-209866045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-2098663464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MUNICIPAL TRANSIENT ROOM TAX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'MTRT 2017'!$N$3</c:f>
              <c:strCache>
                <c:ptCount val="1"/>
                <c:pt idx="0">
                  <c:v>YTD 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 2017'!$A$1:$P$1</c:f>
              <c:strCache>
                <c:ptCount val="1"/>
                <c:pt idx="0">
                  <c:v>Restaurant Tax Distribution - 2017</c:v>
                </c:pt>
              </c:strCache>
            </c:strRef>
          </c:cat>
          <c:val>
            <c:numRef>
              <c:f>'MTRT 2017'!$N$106</c:f>
              <c:numCache>
                <c:formatCode>"$"#,##0</c:formatCode>
                <c:ptCount val="1"/>
                <c:pt idx="0">
                  <c:v>7.99832659E6</c:v>
                </c:pt>
              </c:numCache>
            </c:numRef>
          </c:val>
        </c:ser>
        <c:ser>
          <c:idx val="1"/>
          <c:order val="1"/>
          <c:tx>
            <c:strRef>
              <c:f>'MTRT 2017'!$O$3</c:f>
              <c:strCache>
                <c:ptCount val="1"/>
                <c:pt idx="0">
                  <c:v>YTD 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 2017'!$A$1:$P$1</c:f>
              <c:strCache>
                <c:ptCount val="1"/>
                <c:pt idx="0">
                  <c:v>Restaurant Tax Distribution - 2017</c:v>
                </c:pt>
              </c:strCache>
            </c:strRef>
          </c:cat>
          <c:val>
            <c:numRef>
              <c:f>'MTRT 2017'!$O$106</c:f>
              <c:numCache>
                <c:formatCode>"$"#,##0</c:formatCode>
                <c:ptCount val="1"/>
                <c:pt idx="0">
                  <c:v>6.96588912E6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-48"/>
        <c:axId val="-2100655096"/>
        <c:axId val="-2100651976"/>
      </c:barChart>
      <c:barChart>
        <c:barDir val="col"/>
        <c:grouping val="clustered"/>
        <c:varyColors val="0"/>
        <c:ser>
          <c:idx val="2"/>
          <c:order val="2"/>
          <c:tx>
            <c:strRef>
              <c:f>'TOTAL 2017'!$P$3</c:f>
              <c:strCache>
                <c:ptCount val="1"/>
                <c:pt idx="0">
                  <c:v>% CHANGE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/>
              <c:numFmt formatCode="0.0%" sourceLinked="0"/>
              <c:spPr>
                <a:solidFill>
                  <a:schemeClr val="accent3">
                    <a:lumMod val="75000"/>
                  </a:schemeClr>
                </a:solidFill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solidFill>
                <a:schemeClr val="accent3">
                  <a:lumMod val="75000"/>
                </a:schemeClr>
              </a:solidFill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 2017'!$A$1:$P$1</c:f>
              <c:strCache>
                <c:ptCount val="1"/>
                <c:pt idx="0">
                  <c:v>Restaurant Tax Distribution - 2017</c:v>
                </c:pt>
              </c:strCache>
            </c:strRef>
          </c:cat>
          <c:val>
            <c:numRef>
              <c:f>'MTRT 2017'!$P$106</c:f>
              <c:numCache>
                <c:formatCode>0.0%</c:formatCode>
                <c:ptCount val="1"/>
                <c:pt idx="0">
                  <c:v>0.148213308052196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48"/>
        <c:axId val="-2100645896"/>
        <c:axId val="-2100648904"/>
      </c:barChart>
      <c:catAx>
        <c:axId val="-2100655096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-2100651976"/>
        <c:crosses val="autoZero"/>
        <c:auto val="1"/>
        <c:lblAlgn val="ctr"/>
        <c:lblOffset val="100"/>
        <c:noMultiLvlLbl val="0"/>
      </c:catAx>
      <c:valAx>
        <c:axId val="-2100651976"/>
        <c:scaling>
          <c:orientation val="minMax"/>
        </c:scaling>
        <c:delete val="1"/>
        <c:axPos val="l"/>
        <c:numFmt formatCode="&quot;$&quot;#,##0" sourceLinked="1"/>
        <c:majorTickMark val="none"/>
        <c:minorTickMark val="none"/>
        <c:tickLblPos val="nextTo"/>
        <c:crossAx val="-2100655096"/>
        <c:crosses val="autoZero"/>
        <c:crossBetween val="between"/>
      </c:valAx>
      <c:valAx>
        <c:axId val="-2100648904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-2100645896"/>
        <c:crosses val="max"/>
        <c:crossBetween val="between"/>
      </c:valAx>
      <c:catAx>
        <c:axId val="-210064589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-2100648904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COUNTY TRANSIENT ROOM TAX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'MTRT 2017'!$N$3</c:f>
              <c:strCache>
                <c:ptCount val="1"/>
                <c:pt idx="0">
                  <c:v>YTD 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 2017'!$A$1:$P$1</c:f>
              <c:strCache>
                <c:ptCount val="1"/>
                <c:pt idx="0">
                  <c:v>Restaurant Tax Distribution - 2017</c:v>
                </c:pt>
              </c:strCache>
            </c:strRef>
          </c:cat>
          <c:val>
            <c:numRef>
              <c:f>'TRT 2017'!$N$33</c:f>
              <c:numCache>
                <c:formatCode>"$"#,##0</c:formatCode>
                <c:ptCount val="1"/>
                <c:pt idx="0">
                  <c:v>4.583779405E7</c:v>
                </c:pt>
              </c:numCache>
            </c:numRef>
          </c:val>
        </c:ser>
        <c:ser>
          <c:idx val="1"/>
          <c:order val="1"/>
          <c:tx>
            <c:strRef>
              <c:f>'MTRT 2017'!$O$3</c:f>
              <c:strCache>
                <c:ptCount val="1"/>
                <c:pt idx="0">
                  <c:v>YTD 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 2017'!$A$1:$P$1</c:f>
              <c:strCache>
                <c:ptCount val="1"/>
                <c:pt idx="0">
                  <c:v>Restaurant Tax Distribution - 2017</c:v>
                </c:pt>
              </c:strCache>
            </c:strRef>
          </c:cat>
          <c:val>
            <c:numRef>
              <c:f>'TRT 2017'!$O$33</c:f>
              <c:numCache>
                <c:formatCode>"$"#,##0</c:formatCode>
                <c:ptCount val="1"/>
                <c:pt idx="0">
                  <c:v>4.027239292E7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-48"/>
        <c:axId val="-2098610520"/>
        <c:axId val="-2098607400"/>
      </c:barChart>
      <c:barChart>
        <c:barDir val="col"/>
        <c:grouping val="clustered"/>
        <c:varyColors val="0"/>
        <c:ser>
          <c:idx val="2"/>
          <c:order val="2"/>
          <c:tx>
            <c:strRef>
              <c:f>'TOTAL 2017'!$P$3</c:f>
              <c:strCache>
                <c:ptCount val="1"/>
                <c:pt idx="0">
                  <c:v>% CHANGE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/>
              <c:numFmt formatCode="0.0%" sourceLinked="0"/>
              <c:spPr>
                <a:solidFill>
                  <a:schemeClr val="accent3">
                    <a:lumMod val="75000"/>
                  </a:schemeClr>
                </a:solidFill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solidFill>
                <a:schemeClr val="accent3">
                  <a:lumMod val="75000"/>
                </a:schemeClr>
              </a:solidFill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'TRT 2017'!$A$1:$P$1</c:f>
              <c:strCache>
                <c:ptCount val="1"/>
                <c:pt idx="0">
                  <c:v>County Transient Room Tax Distribution - 2017</c:v>
                </c:pt>
              </c:strCache>
            </c:strRef>
          </c:cat>
          <c:val>
            <c:numRef>
              <c:f>'TRT 2017'!$P$33</c:f>
              <c:numCache>
                <c:formatCode>0.0%</c:formatCode>
                <c:ptCount val="1"/>
                <c:pt idx="0">
                  <c:v>0.138193951897904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48"/>
        <c:axId val="-2098601320"/>
        <c:axId val="-2098604328"/>
      </c:barChart>
      <c:catAx>
        <c:axId val="-2098610520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-2098607400"/>
        <c:crosses val="autoZero"/>
        <c:auto val="1"/>
        <c:lblAlgn val="ctr"/>
        <c:lblOffset val="100"/>
        <c:noMultiLvlLbl val="0"/>
      </c:catAx>
      <c:valAx>
        <c:axId val="-2098607400"/>
        <c:scaling>
          <c:orientation val="minMax"/>
        </c:scaling>
        <c:delete val="1"/>
        <c:axPos val="l"/>
        <c:numFmt formatCode="&quot;$&quot;#,##0" sourceLinked="1"/>
        <c:majorTickMark val="none"/>
        <c:minorTickMark val="none"/>
        <c:tickLblPos val="nextTo"/>
        <c:crossAx val="-2098610520"/>
        <c:crosses val="autoZero"/>
        <c:crossBetween val="between"/>
      </c:valAx>
      <c:valAx>
        <c:axId val="-2098604328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-2098601320"/>
        <c:crosses val="max"/>
        <c:crossBetween val="between"/>
      </c:valAx>
      <c:catAx>
        <c:axId val="-209860132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-2098604328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RESORT COMMUNITIES SALES TAX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'MTRT 2017'!$N$3</c:f>
              <c:strCache>
                <c:ptCount val="1"/>
                <c:pt idx="0">
                  <c:v>YTD 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'RC 2017'!$A$1:$P$1</c:f>
              <c:strCache>
                <c:ptCount val="1"/>
                <c:pt idx="0">
                  <c:v>RESORT COMMUNITIES SALES TAX - 2017</c:v>
                </c:pt>
              </c:strCache>
            </c:strRef>
          </c:cat>
          <c:val>
            <c:numRef>
              <c:f>'RC 2017'!$N$22</c:f>
              <c:numCache>
                <c:formatCode>"$"#,##0</c:formatCode>
                <c:ptCount val="1"/>
                <c:pt idx="0">
                  <c:v>1.975798312E7</c:v>
                </c:pt>
              </c:numCache>
            </c:numRef>
          </c:val>
        </c:ser>
        <c:ser>
          <c:idx val="1"/>
          <c:order val="1"/>
          <c:tx>
            <c:strRef>
              <c:f>'MTRT 2017'!$O$3</c:f>
              <c:strCache>
                <c:ptCount val="1"/>
                <c:pt idx="0">
                  <c:v>YTD 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'RC 2017'!$A$1:$P$1</c:f>
              <c:strCache>
                <c:ptCount val="1"/>
                <c:pt idx="0">
                  <c:v>RESORT COMMUNITIES SALES TAX - 2017</c:v>
                </c:pt>
              </c:strCache>
            </c:strRef>
          </c:cat>
          <c:val>
            <c:numRef>
              <c:f>'RC 2017'!$O$22</c:f>
              <c:numCache>
                <c:formatCode>"$"#,##0</c:formatCode>
                <c:ptCount val="1"/>
                <c:pt idx="0">
                  <c:v>1.784869665E7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-48"/>
        <c:axId val="-2098546552"/>
        <c:axId val="-2098543432"/>
      </c:barChart>
      <c:barChart>
        <c:barDir val="col"/>
        <c:grouping val="clustered"/>
        <c:varyColors val="0"/>
        <c:ser>
          <c:idx val="2"/>
          <c:order val="2"/>
          <c:tx>
            <c:strRef>
              <c:f>'TOTAL 2017'!$P$3</c:f>
              <c:strCache>
                <c:ptCount val="1"/>
                <c:pt idx="0">
                  <c:v>% CHANGE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/>
              <c:numFmt formatCode="0.0%" sourceLinked="0"/>
              <c:spPr>
                <a:solidFill>
                  <a:schemeClr val="accent3">
                    <a:lumMod val="75000"/>
                  </a:schemeClr>
                </a:solidFill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solidFill>
                <a:schemeClr val="accent3">
                  <a:lumMod val="75000"/>
                </a:schemeClr>
              </a:solidFill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'TRT 2017'!$A$1:$P$1</c:f>
              <c:strCache>
                <c:ptCount val="1"/>
                <c:pt idx="0">
                  <c:v>County Transient Room Tax Distribution - 2017</c:v>
                </c:pt>
              </c:strCache>
            </c:strRef>
          </c:cat>
          <c:val>
            <c:numRef>
              <c:f>'RC 2017'!$P$22</c:f>
              <c:numCache>
                <c:formatCode>0.0%</c:formatCode>
                <c:ptCount val="1"/>
                <c:pt idx="0">
                  <c:v>0.106970638105388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48"/>
        <c:axId val="-2098537352"/>
        <c:axId val="-2098540360"/>
      </c:barChart>
      <c:catAx>
        <c:axId val="-2098546552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-2098543432"/>
        <c:crosses val="autoZero"/>
        <c:auto val="1"/>
        <c:lblAlgn val="ctr"/>
        <c:lblOffset val="100"/>
        <c:noMultiLvlLbl val="0"/>
      </c:catAx>
      <c:valAx>
        <c:axId val="-2098543432"/>
        <c:scaling>
          <c:orientation val="minMax"/>
        </c:scaling>
        <c:delete val="1"/>
        <c:axPos val="l"/>
        <c:numFmt formatCode="&quot;$&quot;#,##0" sourceLinked="1"/>
        <c:majorTickMark val="none"/>
        <c:minorTickMark val="none"/>
        <c:tickLblPos val="nextTo"/>
        <c:crossAx val="-2098546552"/>
        <c:crosses val="autoZero"/>
        <c:crossBetween val="between"/>
      </c:valAx>
      <c:valAx>
        <c:axId val="-2098540360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-2098537352"/>
        <c:crosses val="max"/>
        <c:crossBetween val="between"/>
      </c:valAx>
      <c:catAx>
        <c:axId val="-209853735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-2098540360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10077450</xdr:colOff>
      <xdr:row>0</xdr:row>
      <xdr:rowOff>2809875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5715</xdr:rowOff>
    </xdr:from>
    <xdr:to>
      <xdr:col>0</xdr:col>
      <xdr:colOff>10086975</xdr:colOff>
      <xdr:row>1</xdr:row>
      <xdr:rowOff>2748915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</xdr:row>
      <xdr:rowOff>2792730</xdr:rowOff>
    </xdr:from>
    <xdr:to>
      <xdr:col>0</xdr:col>
      <xdr:colOff>10086975</xdr:colOff>
      <xdr:row>5</xdr:row>
      <xdr:rowOff>49530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</xdr:row>
      <xdr:rowOff>93345</xdr:rowOff>
    </xdr:from>
    <xdr:to>
      <xdr:col>0</xdr:col>
      <xdr:colOff>10086975</xdr:colOff>
      <xdr:row>22</xdr:row>
      <xdr:rowOff>83820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22</xdr:row>
      <xdr:rowOff>127635</xdr:rowOff>
    </xdr:from>
    <xdr:to>
      <xdr:col>0</xdr:col>
      <xdr:colOff>10086975</xdr:colOff>
      <xdr:row>39</xdr:row>
      <xdr:rowOff>118110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10086975</xdr:colOff>
      <xdr:row>56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ax.utah.gov/sales/distribu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tax.utah.gov/sales/distribu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tax.utah.gov/sales/distribution" TargetMode="Externa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 enableFormatConditionsCalculation="0">
    <tabColor theme="1"/>
    <pageSetUpPr fitToPage="1"/>
  </sheetPr>
  <dimension ref="A1:T84"/>
  <sheetViews>
    <sheetView tabSelected="1" zoomScale="125" zoomScaleNormal="125" zoomScalePageLayoutView="125" workbookViewId="0">
      <pane ySplit="3" topLeftCell="A4" activePane="bottomLeft" state="frozen"/>
      <selection pane="bottomLeft" activeCell="N38" sqref="N38"/>
    </sheetView>
  </sheetViews>
  <sheetFormatPr baseColWidth="10" defaultColWidth="8.83203125" defaultRowHeight="12" x14ac:dyDescent="0"/>
  <cols>
    <col min="1" max="1" width="11.33203125" bestFit="1" customWidth="1"/>
    <col min="2" max="2" width="8.6640625" bestFit="1" customWidth="1"/>
    <col min="3" max="3" width="9.5" customWidth="1"/>
    <col min="6" max="6" width="9.5" bestFit="1" customWidth="1"/>
    <col min="9" max="10" width="9.5" bestFit="1" customWidth="1"/>
    <col min="11" max="11" width="10.5" customWidth="1"/>
    <col min="12" max="12" width="9.5" bestFit="1" customWidth="1"/>
    <col min="14" max="14" width="10.5" customWidth="1"/>
    <col min="15" max="15" width="10.5" bestFit="1" customWidth="1"/>
    <col min="20" max="20" width="13.5" bestFit="1" customWidth="1"/>
  </cols>
  <sheetData>
    <row r="1" spans="1:19" ht="17">
      <c r="A1" s="687" t="s">
        <v>358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</row>
    <row r="2" spans="1:19" ht="13" thickBot="1">
      <c r="A2" s="47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ht="13" thickBot="1">
      <c r="A3" s="466" t="s">
        <v>42</v>
      </c>
      <c r="B3" s="467" t="s">
        <v>2</v>
      </c>
      <c r="C3" s="468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467" t="s">
        <v>8</v>
      </c>
      <c r="I3" s="467" t="s">
        <v>9</v>
      </c>
      <c r="J3" s="467" t="s">
        <v>10</v>
      </c>
      <c r="K3" s="467" t="s">
        <v>11</v>
      </c>
      <c r="L3" s="467" t="s">
        <v>12</v>
      </c>
      <c r="M3" s="469" t="s">
        <v>13</v>
      </c>
      <c r="N3" s="471" t="s">
        <v>359</v>
      </c>
      <c r="O3" s="472" t="s">
        <v>349</v>
      </c>
      <c r="P3" s="473" t="s">
        <v>16</v>
      </c>
      <c r="Q3" s="565" t="s">
        <v>58</v>
      </c>
    </row>
    <row r="4" spans="1:19">
      <c r="A4" s="92" t="s">
        <v>17</v>
      </c>
      <c r="B4" s="496">
        <f>'R 2017'!B4+'TRT 2017'!B4</f>
        <v>19706.66</v>
      </c>
      <c r="C4" s="496">
        <f>'R 2017'!C4+'TRT 2017'!C4</f>
        <v>39869.42</v>
      </c>
      <c r="D4" s="496">
        <f>'R 2017'!D4+'TRT 2017'!D4</f>
        <v>7357.08</v>
      </c>
      <c r="E4" s="496">
        <f>'R 2017'!E4+'TRT 2017'!E4</f>
        <v>17628.36</v>
      </c>
      <c r="F4" s="496">
        <f>'R 2017'!F4+'TRT 2017'!F4</f>
        <v>39174.199999999997</v>
      </c>
      <c r="G4" s="496">
        <f>'R 2017'!G4+'TRT 2017'!G4</f>
        <v>31692.090000000004</v>
      </c>
      <c r="H4" s="496">
        <f>'R 2017'!H4+'TRT 2017'!H4</f>
        <v>23888.32</v>
      </c>
      <c r="I4" s="496">
        <f>'R 2017'!I4+'TRT 2017'!I4</f>
        <v>58157.770000000004</v>
      </c>
      <c r="J4" s="496">
        <f>'R 2017'!J4+'TRT 2017'!J4</f>
        <v>37320.909999999996</v>
      </c>
      <c r="K4" s="496">
        <f>'R 2017'!K4+'TRT 2017'!K4</f>
        <v>0</v>
      </c>
      <c r="L4" s="496">
        <f>'R 2017'!L4+'TRT 2017'!L4</f>
        <v>0</v>
      </c>
      <c r="M4" s="496">
        <f>'R 2017'!M4+'TRT 2017'!M4</f>
        <v>0</v>
      </c>
      <c r="N4" s="497">
        <f t="shared" ref="N4:N32" si="0">SUM(B4:M4)</f>
        <v>274794.81</v>
      </c>
      <c r="O4" s="388">
        <f>SUM('TOTAL 2016'!B4:J4)</f>
        <v>282434.39</v>
      </c>
      <c r="P4" s="633">
        <f>N4/O4-1</f>
        <v>-2.7049043142373774E-2</v>
      </c>
      <c r="Q4" s="566">
        <f t="shared" ref="Q4:Q32" si="1">N4/$N$33</f>
        <v>2.821372744580419E-3</v>
      </c>
    </row>
    <row r="5" spans="1:19">
      <c r="A5" s="92" t="s">
        <v>18</v>
      </c>
      <c r="B5" s="39">
        <f>'R 2017'!B5+'TRT 2017'!B5</f>
        <v>58035.75</v>
      </c>
      <c r="C5" s="39">
        <f>'R 2017'!C5+'TRT 2017'!C5</f>
        <v>82077.040000000008</v>
      </c>
      <c r="D5" s="39">
        <f>'R 2017'!D5+'TRT 2017'!D5</f>
        <v>46732.84</v>
      </c>
      <c r="E5" s="39">
        <f>'R 2017'!E5+'TRT 2017'!E5</f>
        <v>60624.009999999995</v>
      </c>
      <c r="F5" s="39">
        <f>'R 2017'!F5+'TRT 2017'!F5</f>
        <v>91456.010000000009</v>
      </c>
      <c r="G5" s="39">
        <f>'R 2017'!G5+'TRT 2017'!G5</f>
        <v>58717.009999999995</v>
      </c>
      <c r="H5" s="39">
        <f>'R 2017'!H5+'TRT 2017'!H5</f>
        <v>71128.570000000007</v>
      </c>
      <c r="I5" s="39">
        <f>'R 2017'!I5+'TRT 2017'!I5</f>
        <v>109618.06</v>
      </c>
      <c r="J5" s="39">
        <f>'R 2017'!J5+'TRT 2017'!J5</f>
        <v>90846.83</v>
      </c>
      <c r="K5" s="39">
        <f>'R 2017'!K5+'TRT 2017'!K5</f>
        <v>0</v>
      </c>
      <c r="L5" s="39">
        <f>'R 2017'!L5+'TRT 2017'!L5</f>
        <v>0</v>
      </c>
      <c r="M5" s="39">
        <f>'R 2017'!M5+'TRT 2017'!M5</f>
        <v>0</v>
      </c>
      <c r="N5" s="497">
        <f t="shared" si="0"/>
        <v>669236.12</v>
      </c>
      <c r="O5" s="388">
        <f>SUM('TOTAL 2016'!B5:J5)</f>
        <v>619531.81999999995</v>
      </c>
      <c r="P5" s="633">
        <f t="shared" ref="P5:P31" si="2">N5/O5-1</f>
        <v>8.0228808909282634E-2</v>
      </c>
      <c r="Q5" s="566">
        <f t="shared" si="1"/>
        <v>6.8711798037843245E-3</v>
      </c>
    </row>
    <row r="6" spans="1:19">
      <c r="A6" s="92" t="s">
        <v>19</v>
      </c>
      <c r="B6" s="39">
        <f>'R 2017'!B6+'TRT 2017'!B6</f>
        <v>147423.71</v>
      </c>
      <c r="C6" s="39">
        <f>'R 2017'!C6+'TRT 2017'!C6</f>
        <v>171512.7</v>
      </c>
      <c r="D6" s="39">
        <f>'R 2017'!D6+'TRT 2017'!D6</f>
        <v>132914</v>
      </c>
      <c r="E6" s="39">
        <f>'R 2017'!E6+'TRT 2017'!E6</f>
        <v>154669.19</v>
      </c>
      <c r="F6" s="39">
        <f>'R 2017'!F6+'TRT 2017'!F6</f>
        <v>190090.12</v>
      </c>
      <c r="G6" s="39">
        <f>'R 2017'!G6+'TRT 2017'!G6</f>
        <v>129650.29</v>
      </c>
      <c r="H6" s="39">
        <f>'R 2017'!H6+'TRT 2017'!H6</f>
        <v>191561.03999999998</v>
      </c>
      <c r="I6" s="39">
        <f>'R 2017'!I6+'TRT 2017'!I6</f>
        <v>210877.5</v>
      </c>
      <c r="J6" s="39">
        <f>'R 2017'!J6+'TRT 2017'!J6</f>
        <v>209147.21</v>
      </c>
      <c r="K6" s="39">
        <f>'R 2017'!K6+'TRT 2017'!K6</f>
        <v>0</v>
      </c>
      <c r="L6" s="39">
        <f>'R 2017'!L6+'TRT 2017'!L6</f>
        <v>0</v>
      </c>
      <c r="M6" s="39">
        <f>'R 2017'!M6+'TRT 2017'!M6</f>
        <v>0</v>
      </c>
      <c r="N6" s="497">
        <f t="shared" si="0"/>
        <v>1537845.76</v>
      </c>
      <c r="O6" s="388">
        <f>SUM('TOTAL 2016'!B6:J6)</f>
        <v>1431173.6700000002</v>
      </c>
      <c r="P6" s="633">
        <f t="shared" si="2"/>
        <v>7.4534692913963196E-2</v>
      </c>
      <c r="Q6" s="566">
        <f t="shared" si="1"/>
        <v>1.5789367028556909E-2</v>
      </c>
    </row>
    <row r="7" spans="1:19">
      <c r="A7" s="92" t="s">
        <v>20</v>
      </c>
      <c r="B7" s="39">
        <f>'R 2017'!B7+'TRT 2017'!B7</f>
        <v>25776.260000000002</v>
      </c>
      <c r="C7" s="39">
        <f>'R 2017'!C7+'TRT 2017'!C7</f>
        <v>39015.29</v>
      </c>
      <c r="D7" s="39">
        <f>'R 2017'!D7+'TRT 2017'!D7</f>
        <v>21035.75</v>
      </c>
      <c r="E7" s="39">
        <f>'R 2017'!E7+'TRT 2017'!E7</f>
        <v>24249</v>
      </c>
      <c r="F7" s="39">
        <f>'R 2017'!F7+'TRT 2017'!F7</f>
        <v>47337.29</v>
      </c>
      <c r="G7" s="39">
        <f>'R 2017'!G7+'TRT 2017'!G7</f>
        <v>38075.339999999997</v>
      </c>
      <c r="H7" s="39">
        <f>'R 2017'!H7+'TRT 2017'!H7</f>
        <v>37339.630000000005</v>
      </c>
      <c r="I7" s="39">
        <f>'R 2017'!I7+'TRT 2017'!I7</f>
        <v>56271.99</v>
      </c>
      <c r="J7" s="39">
        <f>'R 2017'!J7+'TRT 2017'!J7</f>
        <v>32207.370000000003</v>
      </c>
      <c r="K7" s="39">
        <f>'R 2017'!K7+'TRT 2017'!K7</f>
        <v>0</v>
      </c>
      <c r="L7" s="39">
        <f>'R 2017'!L7+'TRT 2017'!L7</f>
        <v>0</v>
      </c>
      <c r="M7" s="39">
        <f>'R 2017'!M7+'TRT 2017'!M7</f>
        <v>0</v>
      </c>
      <c r="N7" s="497">
        <f t="shared" si="0"/>
        <v>321307.92</v>
      </c>
      <c r="O7" s="388">
        <f>SUM('TOTAL 2016'!B7:J7)</f>
        <v>342547.75999999995</v>
      </c>
      <c r="P7" s="633">
        <f t="shared" si="2"/>
        <v>-6.2005485016162321E-2</v>
      </c>
      <c r="Q7" s="566">
        <f t="shared" si="1"/>
        <v>3.2989320580902736E-3</v>
      </c>
    </row>
    <row r="8" spans="1:19">
      <c r="A8" s="92" t="s">
        <v>21</v>
      </c>
      <c r="B8" s="39">
        <f>'R 2017'!B8+'TRT 2017'!B8</f>
        <v>3131.49</v>
      </c>
      <c r="C8" s="39">
        <f>'R 2017'!C8+'TRT 2017'!C8</f>
        <v>2219.63</v>
      </c>
      <c r="D8" s="39">
        <f>'R 2017'!D8+'TRT 2017'!D8</f>
        <v>1495.1499999999999</v>
      </c>
      <c r="E8" s="39">
        <f>'R 2017'!E8+'TRT 2017'!E8</f>
        <v>1570.75</v>
      </c>
      <c r="F8" s="39">
        <f>'R 2017'!F8+'TRT 2017'!F8</f>
        <v>5015.5</v>
      </c>
      <c r="G8" s="39">
        <f>'R 2017'!G8+'TRT 2017'!G8</f>
        <v>16414.53</v>
      </c>
      <c r="H8" s="39">
        <f>'R 2017'!H8+'TRT 2017'!H8</f>
        <v>20028.78</v>
      </c>
      <c r="I8" s="39">
        <f>'R 2017'!I8+'TRT 2017'!I8</f>
        <v>35063.99</v>
      </c>
      <c r="J8" s="39">
        <f>'R 2017'!J8+'TRT 2017'!J8</f>
        <v>19309.419999999998</v>
      </c>
      <c r="K8" s="39">
        <f>'R 2017'!K8+'TRT 2017'!K8</f>
        <v>0</v>
      </c>
      <c r="L8" s="39">
        <f>'R 2017'!L8+'TRT 2017'!L8</f>
        <v>0</v>
      </c>
      <c r="M8" s="39">
        <f>'R 2017'!M8+'TRT 2017'!M8</f>
        <v>0</v>
      </c>
      <c r="N8" s="497">
        <f t="shared" si="0"/>
        <v>104249.24</v>
      </c>
      <c r="O8" s="388">
        <f>SUM('TOTAL 2016'!B8:J8)</f>
        <v>86811.090000000011</v>
      </c>
      <c r="P8" s="633">
        <f t="shared" si="2"/>
        <v>0.20087468087314631</v>
      </c>
      <c r="Q8" s="566">
        <f t="shared" si="1"/>
        <v>1.0703475963728093E-3</v>
      </c>
    </row>
    <row r="9" spans="1:19">
      <c r="A9" s="151" t="s">
        <v>22</v>
      </c>
      <c r="B9" s="327">
        <f>'R 2017'!B9+'TRT 2017'!B9+'CR 2017'!C4</f>
        <v>425418.45</v>
      </c>
      <c r="C9" s="327">
        <f>'R 2017'!C9+'TRT 2017'!C9+'CR 2017'!D4</f>
        <v>527690.47</v>
      </c>
      <c r="D9" s="327">
        <f>'R 2017'!D9+'TRT 2017'!D9+'CR 2017'!E4</f>
        <v>436133.17999999993</v>
      </c>
      <c r="E9" s="327">
        <f>'R 2017'!E9+'TRT 2017'!E9+'CR 2017'!F4</f>
        <v>525017.99</v>
      </c>
      <c r="F9" s="327">
        <f>'R 2017'!F9+'TRT 2017'!F9+'CR 2017'!G4</f>
        <v>613916.2300000001</v>
      </c>
      <c r="G9" s="327">
        <f>'R 2017'!G9+'TRT 2017'!G9+'CR 2017'!H4</f>
        <v>446207.97000000003</v>
      </c>
      <c r="H9" s="327">
        <f>'R 2017'!H9+'TRT 2017'!H9+'CR 2017'!I4</f>
        <v>561738.98</v>
      </c>
      <c r="I9" s="327">
        <f>'R 2017'!I9+'TRT 2017'!I9+'CR 2017'!J4</f>
        <v>752384.69000000006</v>
      </c>
      <c r="J9" s="327">
        <f>'R 2017'!J9+'TRT 2017'!J9+'CR 2017'!K4</f>
        <v>611179.46</v>
      </c>
      <c r="K9" s="327">
        <f>'R 2017'!K9+'TRT 2017'!K9+'CR 2017'!L4</f>
        <v>0</v>
      </c>
      <c r="L9" s="327">
        <f>'R 2017'!L9+'TRT 2017'!L9+'CR 2017'!M4</f>
        <v>0</v>
      </c>
      <c r="M9" s="327">
        <f>'R 2017'!M9+'TRT 2017'!M9+'CR 2017'!N4</f>
        <v>0</v>
      </c>
      <c r="N9" s="497">
        <f t="shared" si="0"/>
        <v>4899687.42</v>
      </c>
      <c r="O9" s="388">
        <f>SUM('TOTAL 2016'!B9:J9)</f>
        <v>4586996.9999999991</v>
      </c>
      <c r="P9" s="633">
        <f t="shared" si="2"/>
        <v>6.8168873884155712E-2</v>
      </c>
      <c r="Q9" s="566">
        <f t="shared" si="1"/>
        <v>5.0306061252581712E-2</v>
      </c>
    </row>
    <row r="10" spans="1:19">
      <c r="A10" s="151" t="s">
        <v>23</v>
      </c>
      <c r="B10" s="327">
        <f>'R 2017'!B10+'TRT 2017'!B10+'CR 2017'!C5</f>
        <v>13904.07</v>
      </c>
      <c r="C10" s="327">
        <f>'R 2017'!C10+'TRT 2017'!C10+'CR 2017'!D5</f>
        <v>23516.21</v>
      </c>
      <c r="D10" s="327">
        <f>'R 2017'!D10+'TRT 2017'!D10+'CR 2017'!E5</f>
        <v>13010.56</v>
      </c>
      <c r="E10" s="327">
        <f>'R 2017'!E10+'TRT 2017'!E10+'CR 2017'!F5</f>
        <v>10237.529999999999</v>
      </c>
      <c r="F10" s="327">
        <f>'R 2017'!F10+'TRT 2017'!F10+'CR 2017'!G5</f>
        <v>23411.4</v>
      </c>
      <c r="G10" s="327">
        <f>'R 2017'!G10+'TRT 2017'!G10+'CR 2017'!H5</f>
        <v>12373.2</v>
      </c>
      <c r="H10" s="327">
        <f>'R 2017'!H10+'TRT 2017'!H10+'CR 2017'!I5</f>
        <v>14472</v>
      </c>
      <c r="I10" s="327">
        <f>'R 2017'!I10+'TRT 2017'!I10+'CR 2017'!J5</f>
        <v>38246.79</v>
      </c>
      <c r="J10" s="327">
        <f>'R 2017'!J10+'TRT 2017'!J10+'CR 2017'!K5</f>
        <v>24109.33</v>
      </c>
      <c r="K10" s="327">
        <f>'R 2017'!K10+'TRT 2017'!K10+'CR 2017'!L5</f>
        <v>0</v>
      </c>
      <c r="L10" s="327">
        <f>'R 2017'!L10+'TRT 2017'!L10+'CR 2017'!M5</f>
        <v>0</v>
      </c>
      <c r="M10" s="327">
        <f>'R 2017'!M10+'TRT 2017'!M10+'CR 2017'!N5</f>
        <v>0</v>
      </c>
      <c r="N10" s="497">
        <f t="shared" si="0"/>
        <v>173281.08999999997</v>
      </c>
      <c r="O10" s="388">
        <f>SUM('TOTAL 2016'!B10:J10)</f>
        <v>159577.51</v>
      </c>
      <c r="P10" s="633">
        <f t="shared" si="2"/>
        <v>8.5874131010065025E-2</v>
      </c>
      <c r="Q10" s="566">
        <f t="shared" si="1"/>
        <v>1.7791112738890029E-3</v>
      </c>
    </row>
    <row r="11" spans="1:19">
      <c r="A11" s="151" t="s">
        <v>51</v>
      </c>
      <c r="B11" s="327">
        <f>'R 2017'!B11+'TRT 2017'!B11</f>
        <v>10878.52</v>
      </c>
      <c r="C11" s="327">
        <f>'R 2017'!C11+'TRT 2017'!C11</f>
        <v>24695.72</v>
      </c>
      <c r="D11" s="327">
        <f>'R 2017'!D11+'TRT 2017'!D11</f>
        <v>8363.82</v>
      </c>
      <c r="E11" s="327">
        <f>'R 2017'!E11+'TRT 2017'!E11</f>
        <v>26303.940000000002</v>
      </c>
      <c r="F11" s="327">
        <f>'R 2017'!F11+'TRT 2017'!F11</f>
        <v>42171.7</v>
      </c>
      <c r="G11" s="327">
        <f>'R 2017'!G11+'TRT 2017'!G11</f>
        <v>53386.46</v>
      </c>
      <c r="H11" s="327">
        <f>'R 2017'!H11+'TRT 2017'!H11</f>
        <v>61702.74</v>
      </c>
      <c r="I11" s="327">
        <f>'R 2017'!I11+'TRT 2017'!I11</f>
        <v>65794.66</v>
      </c>
      <c r="J11" s="327">
        <f>'R 2017'!J11+'TRT 2017'!J11</f>
        <v>51508.259999999995</v>
      </c>
      <c r="K11" s="327">
        <f>'R 2017'!K11+'TRT 2017'!K11</f>
        <v>0</v>
      </c>
      <c r="L11" s="327">
        <f>'R 2017'!L11+'TRT 2017'!L11</f>
        <v>0</v>
      </c>
      <c r="M11" s="327">
        <f>'R 2017'!M11+'TRT 2017'!M11</f>
        <v>0</v>
      </c>
      <c r="N11" s="498">
        <f t="shared" si="0"/>
        <v>344805.82</v>
      </c>
      <c r="O11" s="388">
        <f>SUM('TOTAL 2016'!B11:J11)</f>
        <v>335734.62</v>
      </c>
      <c r="P11" s="633">
        <f t="shared" si="2"/>
        <v>2.70189592005734E-2</v>
      </c>
      <c r="Q11" s="566">
        <f t="shared" si="1"/>
        <v>3.5401896517649007E-3</v>
      </c>
    </row>
    <row r="12" spans="1:19">
      <c r="A12" s="151" t="s">
        <v>24</v>
      </c>
      <c r="B12" s="327">
        <f>'R 2017'!B12+'TRT 2017'!B12</f>
        <v>63185.82</v>
      </c>
      <c r="C12" s="327">
        <f>'R 2017'!C12+'TRT 2017'!C12</f>
        <v>74135.09</v>
      </c>
      <c r="D12" s="327">
        <f>'R 2017'!D12+'TRT 2017'!D12</f>
        <v>31554.23</v>
      </c>
      <c r="E12" s="327">
        <f>'R 2017'!E12+'TRT 2017'!E12</f>
        <v>50047.399999999994</v>
      </c>
      <c r="F12" s="327">
        <f>'R 2017'!F12+'TRT 2017'!F12</f>
        <v>103147.54</v>
      </c>
      <c r="G12" s="327">
        <f>'R 2017'!G12+'TRT 2017'!G12</f>
        <v>181732.67</v>
      </c>
      <c r="H12" s="327">
        <f>'R 2017'!H12+'TRT 2017'!H12</f>
        <v>272360.06</v>
      </c>
      <c r="I12" s="327">
        <f>'R 2017'!I12+'TRT 2017'!I12</f>
        <v>386300.51999999996</v>
      </c>
      <c r="J12" s="327">
        <f>'R 2017'!J12+'TRT 2017'!J12</f>
        <v>268487.67</v>
      </c>
      <c r="K12" s="327">
        <f>'R 2017'!K12+'TRT 2017'!K12</f>
        <v>0</v>
      </c>
      <c r="L12" s="327">
        <f>'R 2017'!L12+'TRT 2017'!L12</f>
        <v>0</v>
      </c>
      <c r="M12" s="327">
        <f>'R 2017'!M12+'TRT 2017'!M12</f>
        <v>0</v>
      </c>
      <c r="N12" s="497">
        <f t="shared" si="0"/>
        <v>1430951</v>
      </c>
      <c r="O12" s="388">
        <f>SUM('TOTAL 2016'!B12:J12)</f>
        <v>1285257.19</v>
      </c>
      <c r="P12" s="633">
        <f t="shared" si="2"/>
        <v>0.11335770858438066</v>
      </c>
      <c r="Q12" s="566">
        <f t="shared" si="1"/>
        <v>1.4691857354329565E-2</v>
      </c>
      <c r="S12" s="477"/>
    </row>
    <row r="13" spans="1:19">
      <c r="A13" s="151" t="s">
        <v>25</v>
      </c>
      <c r="B13" s="327">
        <f>'R 2017'!B13+'TRT 2017'!B13+'CR 2017'!C6</f>
        <v>262118.52000000002</v>
      </c>
      <c r="C13" s="327">
        <f>'R 2017'!C13+'TRT 2017'!C13+'CR 2017'!D6</f>
        <v>207850.63</v>
      </c>
      <c r="D13" s="327">
        <f>'R 2017'!D13+'TRT 2017'!D13+'CR 2017'!E6</f>
        <v>81234.009999999995</v>
      </c>
      <c r="E13" s="327">
        <f>'R 2017'!E13+'TRT 2017'!E13+'CR 2017'!F6</f>
        <v>211776.02000000002</v>
      </c>
      <c r="F13" s="327">
        <f>'R 2017'!F13+'TRT 2017'!F13+'CR 2017'!G6</f>
        <v>524573.09</v>
      </c>
      <c r="G13" s="327">
        <f>'R 2017'!G13+'TRT 2017'!G13+'CR 2017'!H6</f>
        <v>558013.63</v>
      </c>
      <c r="H13" s="327">
        <f>'R 2017'!H13+'TRT 2017'!H13+'CR 2017'!I6</f>
        <v>669683.76</v>
      </c>
      <c r="I13" s="327">
        <f>'R 2017'!I13+'TRT 2017'!I13+'CR 2017'!J6</f>
        <v>796896.29</v>
      </c>
      <c r="J13" s="327">
        <f>'R 2017'!J13+'TRT 2017'!J13+'CR 2017'!K6</f>
        <v>533157.38</v>
      </c>
      <c r="K13" s="327">
        <f>'R 2017'!K13+'TRT 2017'!K13+'CR 2017'!L6</f>
        <v>0</v>
      </c>
      <c r="L13" s="327">
        <f>'R 2017'!L13+'TRT 2017'!L13+'CR 2017'!M6</f>
        <v>0</v>
      </c>
      <c r="M13" s="327">
        <f>'R 2017'!M13+'TRT 2017'!M13+'CR 2017'!N6</f>
        <v>0</v>
      </c>
      <c r="N13" s="497">
        <f t="shared" si="0"/>
        <v>3845303.33</v>
      </c>
      <c r="O13" s="388">
        <f>SUM('TOTAL 2016'!B13:J13)</f>
        <v>3287655.7</v>
      </c>
      <c r="P13" s="633">
        <f t="shared" si="2"/>
        <v>0.16961862216898194</v>
      </c>
      <c r="Q13" s="566">
        <f t="shared" si="1"/>
        <v>3.9480490952162911E-2</v>
      </c>
    </row>
    <row r="14" spans="1:19">
      <c r="A14" s="151" t="s">
        <v>26</v>
      </c>
      <c r="B14" s="327">
        <f>'R 2017'!B14+'TRT 2017'!B14</f>
        <v>109147.88</v>
      </c>
      <c r="C14" s="327">
        <f>'R 2017'!C14+'TRT 2017'!C14</f>
        <v>215527.66999999998</v>
      </c>
      <c r="D14" s="327">
        <f>'R 2017'!D14+'TRT 2017'!D14</f>
        <v>119684.29999999999</v>
      </c>
      <c r="E14" s="327">
        <f>'R 2017'!E14+'TRT 2017'!E14</f>
        <v>153739.32</v>
      </c>
      <c r="F14" s="327">
        <f>'R 2017'!F14+'TRT 2017'!F14</f>
        <v>202572.18</v>
      </c>
      <c r="G14" s="327">
        <f>'R 2017'!G14+'TRT 2017'!G14</f>
        <v>130874.73</v>
      </c>
      <c r="H14" s="327">
        <f>'R 2017'!H14+'TRT 2017'!H14</f>
        <v>144075.06</v>
      </c>
      <c r="I14" s="327">
        <f>'R 2017'!I14+'TRT 2017'!I14</f>
        <v>253435.9</v>
      </c>
      <c r="J14" s="327">
        <f>'R 2017'!J14+'TRT 2017'!J14</f>
        <v>214393.28</v>
      </c>
      <c r="K14" s="327">
        <f>'R 2017'!K14+'TRT 2017'!K14</f>
        <v>0</v>
      </c>
      <c r="L14" s="327">
        <f>'R 2017'!L14+'TRT 2017'!L14</f>
        <v>0</v>
      </c>
      <c r="M14" s="327">
        <f>'R 2017'!M14+'TRT 2017'!M14</f>
        <v>0</v>
      </c>
      <c r="N14" s="497">
        <f t="shared" si="0"/>
        <v>1543450.3199999998</v>
      </c>
      <c r="O14" s="388">
        <f>SUM('TOTAL 2016'!B14:J14)</f>
        <v>1483768.55</v>
      </c>
      <c r="P14" s="633">
        <f t="shared" si="2"/>
        <v>4.022309948542846E-2</v>
      </c>
      <c r="Q14" s="566">
        <f t="shared" si="1"/>
        <v>1.5846910156206827E-2</v>
      </c>
    </row>
    <row r="15" spans="1:19">
      <c r="A15" s="151" t="s">
        <v>27</v>
      </c>
      <c r="B15" s="327">
        <f>'R 2017'!B15+'TRT 2017'!B15</f>
        <v>9060.2799999999988</v>
      </c>
      <c r="C15" s="327">
        <f>'R 2017'!C15+'TRT 2017'!C15</f>
        <v>26462.54</v>
      </c>
      <c r="D15" s="327">
        <f>'R 2017'!D15+'TRT 2017'!D15</f>
        <v>6640.7</v>
      </c>
      <c r="E15" s="327">
        <f>'R 2017'!E15+'TRT 2017'!E15</f>
        <v>8684.84</v>
      </c>
      <c r="F15" s="327">
        <f>'R 2017'!F15+'TRT 2017'!F15</f>
        <v>26933.58</v>
      </c>
      <c r="G15" s="327">
        <f>'R 2017'!G15+'TRT 2017'!G15</f>
        <v>10910.57</v>
      </c>
      <c r="H15" s="327">
        <f>'R 2017'!H15+'TRT 2017'!H15</f>
        <v>12125.810000000001</v>
      </c>
      <c r="I15" s="327">
        <f>'R 2017'!I15+'TRT 2017'!I15</f>
        <v>38071.160000000003</v>
      </c>
      <c r="J15" s="327">
        <f>'R 2017'!J15+'TRT 2017'!J15</f>
        <v>16736.29</v>
      </c>
      <c r="K15" s="327">
        <f>'R 2017'!K15+'TRT 2017'!K15</f>
        <v>0</v>
      </c>
      <c r="L15" s="327">
        <f>'R 2017'!L15+'TRT 2017'!L15</f>
        <v>0</v>
      </c>
      <c r="M15" s="327">
        <f>'R 2017'!M15+'TRT 2017'!M15</f>
        <v>0</v>
      </c>
      <c r="N15" s="497">
        <f t="shared" si="0"/>
        <v>155625.77000000002</v>
      </c>
      <c r="O15" s="388">
        <f>SUM('TOTAL 2016'!B15:J15)</f>
        <v>150353.57000000004</v>
      </c>
      <c r="P15" s="633">
        <f t="shared" si="2"/>
        <v>3.5065346303383205E-2</v>
      </c>
      <c r="Q15" s="566">
        <f t="shared" si="1"/>
        <v>1.5978406063503932E-3</v>
      </c>
    </row>
    <row r="16" spans="1:19">
      <c r="A16" s="151" t="s">
        <v>28</v>
      </c>
      <c r="B16" s="327">
        <f>'R 2017'!B16+'TRT 2017'!B16</f>
        <v>136624.26</v>
      </c>
      <c r="C16" s="327">
        <f>'R 2017'!C16+'TRT 2017'!C16</f>
        <v>114546.38</v>
      </c>
      <c r="D16" s="327">
        <f>'R 2017'!D16+'TRT 2017'!D16</f>
        <v>87842.58</v>
      </c>
      <c r="E16" s="327">
        <f>'R 2017'!E16+'TRT 2017'!E16</f>
        <v>156716.58000000002</v>
      </c>
      <c r="F16" s="327">
        <f>'R 2017'!F16+'TRT 2017'!F16</f>
        <v>217048.8</v>
      </c>
      <c r="G16" s="327">
        <f>'R 2017'!G16+'TRT 2017'!G16</f>
        <v>140878.97</v>
      </c>
      <c r="H16" s="327">
        <f>'R 2017'!H16+'TRT 2017'!H16</f>
        <v>298830.19</v>
      </c>
      <c r="I16" s="327">
        <f>'R 2017'!I16+'TRT 2017'!I16</f>
        <v>517593.98</v>
      </c>
      <c r="J16" s="327">
        <f>'R 2017'!J16+'TRT 2017'!J16</f>
        <v>231198.5</v>
      </c>
      <c r="K16" s="327">
        <f>'R 2017'!K16+'TRT 2017'!K16</f>
        <v>0</v>
      </c>
      <c r="L16" s="327">
        <f>'R 2017'!L16+'TRT 2017'!L16</f>
        <v>0</v>
      </c>
      <c r="M16" s="327">
        <f>'R 2017'!M16+'TRT 2017'!M16</f>
        <v>0</v>
      </c>
      <c r="N16" s="497">
        <f t="shared" si="0"/>
        <v>1901280.24</v>
      </c>
      <c r="O16" s="388">
        <f>SUM('TOTAL 2016'!B16:J16)</f>
        <v>1660384.9910000002</v>
      </c>
      <c r="P16" s="633">
        <f t="shared" si="2"/>
        <v>0.14508397167268772</v>
      </c>
      <c r="Q16" s="566">
        <f t="shared" si="1"/>
        <v>1.9520820822435905E-2</v>
      </c>
    </row>
    <row r="17" spans="1:20">
      <c r="A17" s="151" t="s">
        <v>52</v>
      </c>
      <c r="B17" s="327">
        <f>'TRT 2017'!B17+'R 2017'!B17</f>
        <v>12075.07</v>
      </c>
      <c r="C17" s="327">
        <f>'TRT 2017'!C17+'R 2017'!C17</f>
        <v>22436.61</v>
      </c>
      <c r="D17" s="327">
        <f>'TRT 2017'!D17+'R 2017'!D17</f>
        <v>13034.2</v>
      </c>
      <c r="E17" s="327">
        <f>'TRT 2017'!E17+'R 2017'!E17</f>
        <v>12417.24</v>
      </c>
      <c r="F17" s="327">
        <f>'TRT 2017'!F17+'R 2017'!F17</f>
        <v>25651.41</v>
      </c>
      <c r="G17" s="327">
        <f>'TRT 2017'!G17+'R 2017'!G17</f>
        <v>19370.14</v>
      </c>
      <c r="H17" s="327">
        <f>'TRT 2017'!H17+'R 2017'!H17</f>
        <v>25295.63</v>
      </c>
      <c r="I17" s="327">
        <f>'TRT 2017'!I17</f>
        <v>23962.63</v>
      </c>
      <c r="J17" s="327">
        <f>'TRT 2017'!J17</f>
        <v>12996.7</v>
      </c>
      <c r="K17" s="327">
        <f>'TRT 2017'!K17</f>
        <v>0</v>
      </c>
      <c r="L17" s="327">
        <f>'TRT 2017'!L17</f>
        <v>0</v>
      </c>
      <c r="M17" s="327">
        <f>'TRT 2017'!M17</f>
        <v>0</v>
      </c>
      <c r="N17" s="497">
        <f t="shared" si="0"/>
        <v>167239.63</v>
      </c>
      <c r="O17" s="388">
        <f>SUM('TOTAL 2016'!B17:J17)</f>
        <v>171603.22000000003</v>
      </c>
      <c r="P17" s="633">
        <f t="shared" si="2"/>
        <v>-2.542836900146761E-2</v>
      </c>
      <c r="Q17" s="566">
        <f t="shared" si="1"/>
        <v>1.7170824073995932E-3</v>
      </c>
    </row>
    <row r="18" spans="1:20">
      <c r="A18" s="151" t="s">
        <v>29</v>
      </c>
      <c r="B18" s="327">
        <f>'R 2017'!B18+'TRT 2017'!B18+'CR 2017'!C7</f>
        <v>4866.5300000000007</v>
      </c>
      <c r="C18" s="327">
        <f>'R 2017'!C18+'TRT 2017'!C18+'CR 2017'!D7</f>
        <v>5150.51</v>
      </c>
      <c r="D18" s="327">
        <f>'R 2017'!D18+'TRT 2017'!D18+'CR 2017'!E7</f>
        <v>5529.68</v>
      </c>
      <c r="E18" s="327">
        <f>'R 2017'!E18+'TRT 2017'!E18+'CR 2017'!F7</f>
        <v>6195.67</v>
      </c>
      <c r="F18" s="327">
        <f>'R 2017'!F18+'TRT 2017'!F18+'CR 2017'!G7</f>
        <v>7052.61</v>
      </c>
      <c r="G18" s="327">
        <f>'R 2017'!G18+'TRT 2017'!G18+'CR 2017'!H7</f>
        <v>3921.1500000000005</v>
      </c>
      <c r="H18" s="327">
        <f>'R 2017'!H18+'TRT 2017'!H18+'CR 2017'!I7</f>
        <v>6448.7699999999995</v>
      </c>
      <c r="I18" s="327">
        <f>'R 2017'!I18+'TRT 2017'!I18+'CR 2017'!J7</f>
        <v>10472.789999999999</v>
      </c>
      <c r="J18" s="327">
        <f>'R 2017'!J18+'TRT 2017'!J18+'CR 2017'!K7</f>
        <v>8080.2699999999995</v>
      </c>
      <c r="K18" s="327">
        <f>'R 2017'!K18+'TRT 2017'!K18+'CR 2017'!L7</f>
        <v>0</v>
      </c>
      <c r="L18" s="327">
        <f>'R 2017'!L18+'TRT 2017'!L18+'CR 2017'!M7</f>
        <v>0</v>
      </c>
      <c r="M18" s="327">
        <f>'R 2017'!M18+'TRT 2017'!M18+'CR 2017'!N7</f>
        <v>0</v>
      </c>
      <c r="N18" s="497">
        <f t="shared" si="0"/>
        <v>57717.979999999996</v>
      </c>
      <c r="O18" s="388">
        <f>SUM('TOTAL 2016'!B18:J18)</f>
        <v>46164.11</v>
      </c>
      <c r="P18" s="633">
        <f t="shared" si="2"/>
        <v>0.2502781923013353</v>
      </c>
      <c r="Q18" s="566">
        <f t="shared" si="1"/>
        <v>5.9260193321787169E-4</v>
      </c>
    </row>
    <row r="19" spans="1:20">
      <c r="A19" s="151" t="s">
        <v>53</v>
      </c>
      <c r="B19" s="327">
        <f>'TRT 2017'!B19</f>
        <v>591.71</v>
      </c>
      <c r="C19" s="327">
        <f>'TRT 2017'!C19</f>
        <v>1841.44</v>
      </c>
      <c r="D19" s="327">
        <f>'TRT 2017'!D19</f>
        <v>109.94</v>
      </c>
      <c r="E19" s="327">
        <f>'TRT 2017'!E19</f>
        <v>669.92</v>
      </c>
      <c r="F19" s="327">
        <f>'TRT 2017'!F19</f>
        <v>793.07</v>
      </c>
      <c r="G19" s="327">
        <f>'TRT 2017'!G19</f>
        <v>196.18</v>
      </c>
      <c r="H19" s="327">
        <f>'TRT 2017'!H19</f>
        <v>1905.26</v>
      </c>
      <c r="I19" s="327">
        <f>'TRT 2017'!I19</f>
        <v>6511.38</v>
      </c>
      <c r="J19" s="327">
        <f>'TRT 2017'!J19</f>
        <v>543.13</v>
      </c>
      <c r="K19" s="327">
        <f>'TRT 2017'!K19</f>
        <v>0</v>
      </c>
      <c r="L19" s="327">
        <f>'TRT 2017'!L19</f>
        <v>0</v>
      </c>
      <c r="M19" s="327">
        <f>'TRT 2017'!M19</f>
        <v>0</v>
      </c>
      <c r="N19" s="497">
        <f t="shared" si="0"/>
        <v>13162.03</v>
      </c>
      <c r="O19" s="388">
        <f>SUM('TOTAL 2016'!B19:J19)</f>
        <v>10910.91</v>
      </c>
      <c r="P19" s="633">
        <f t="shared" si="2"/>
        <v>0.20631826309629542</v>
      </c>
      <c r="Q19" s="566">
        <f t="shared" si="1"/>
        <v>1.351371690948232E-4</v>
      </c>
    </row>
    <row r="20" spans="1:20">
      <c r="A20" s="151" t="s">
        <v>30</v>
      </c>
      <c r="B20" s="327">
        <f>'R 2017'!B19+'TRT 2017'!B20</f>
        <v>625.57000000000005</v>
      </c>
      <c r="C20" s="327">
        <f>'R 2017'!C19+'TRT 2017'!C20</f>
        <v>12213.12</v>
      </c>
      <c r="D20" s="327">
        <f>'R 2017'!D19+'TRT 2017'!D20</f>
        <v>12555.75</v>
      </c>
      <c r="E20" s="327">
        <f>'R 2017'!E19+'TRT 2017'!E20</f>
        <v>7236.96</v>
      </c>
      <c r="F20" s="327">
        <f>'R 2017'!F19+'TRT 2017'!F20</f>
        <v>11306.279999999999</v>
      </c>
      <c r="G20" s="327">
        <f>'R 2017'!G19+'TRT 2017'!G20</f>
        <v>2214.65</v>
      </c>
      <c r="H20" s="327">
        <f>'R 2017'!H19+'TRT 2017'!H20</f>
        <v>12996.91</v>
      </c>
      <c r="I20" s="327">
        <f>'R 2017'!I19+'TRT 2017'!I20</f>
        <v>75292.11</v>
      </c>
      <c r="J20" s="327">
        <f>'R 2017'!J19+'TRT 2017'!J20</f>
        <v>55085.65</v>
      </c>
      <c r="K20" s="327">
        <f>'R 2017'!K19+'TRT 2017'!K20</f>
        <v>0</v>
      </c>
      <c r="L20" s="327">
        <f>'R 2017'!L19+'TRT 2017'!L20</f>
        <v>0</v>
      </c>
      <c r="M20" s="327">
        <f>'R 2017'!M19+'TRT 2017'!M20</f>
        <v>0</v>
      </c>
      <c r="N20" s="497">
        <f t="shared" si="0"/>
        <v>189527</v>
      </c>
      <c r="O20" s="388">
        <f>SUM('TOTAL 2016'!B20:J20)</f>
        <v>175200.96</v>
      </c>
      <c r="P20" s="633">
        <f t="shared" si="2"/>
        <v>8.1769186652858483E-2</v>
      </c>
      <c r="Q20" s="566">
        <f t="shared" si="1"/>
        <v>1.9459112497870433E-3</v>
      </c>
    </row>
    <row r="21" spans="1:20">
      <c r="A21" s="151" t="s">
        <v>31</v>
      </c>
      <c r="B21" s="327">
        <f>'R 2017'!B20+'TRT 2017'!B21+'CR 2017'!C8</f>
        <v>3467390.21</v>
      </c>
      <c r="C21" s="327">
        <f>'R 2017'!C20+'TRT 2017'!C21+'CR 2017'!D8</f>
        <v>4547873.2300000004</v>
      </c>
      <c r="D21" s="327">
        <f>'R 2017'!D20+'TRT 2017'!D21+'CR 2017'!E8</f>
        <v>4635542.84</v>
      </c>
      <c r="E21" s="327">
        <f>'R 2017'!E20+'TRT 2017'!E21+'CR 2017'!F8</f>
        <v>4995697.09</v>
      </c>
      <c r="F21" s="327">
        <f>'R 2017'!F20+'TRT 2017'!F21+'CR 2017'!G8</f>
        <v>6061743.709999999</v>
      </c>
      <c r="G21" s="327">
        <f>'R 2017'!G20+'TRT 2017'!G21+'CR 2017'!H8</f>
        <v>3777896.46</v>
      </c>
      <c r="H21" s="327">
        <f>'R 2017'!H20+'TRT 2017'!H21+'CR 2017'!I8</f>
        <v>3932341.29</v>
      </c>
      <c r="I21" s="327">
        <f>'R 2017'!I20+'TRT 2017'!I21+'CR 2017'!J8</f>
        <v>5781083.8000000007</v>
      </c>
      <c r="J21" s="327">
        <f>'R 2017'!J20+'TRT 2017'!J21+'CR 2017'!K8</f>
        <v>5177137.49</v>
      </c>
      <c r="K21" s="327">
        <f>'R 2017'!K20+'TRT 2017'!K21+'CR 2017'!L8</f>
        <v>0</v>
      </c>
      <c r="L21" s="327">
        <f>'R 2017'!L20+'TRT 2017'!L21+'CR 2017'!M8</f>
        <v>0</v>
      </c>
      <c r="M21" s="327">
        <f>'R 2017'!M20+'TRT 2017'!M21+'CR 2017'!N8</f>
        <v>0</v>
      </c>
      <c r="N21" s="497">
        <f t="shared" si="0"/>
        <v>42376706.119999997</v>
      </c>
      <c r="O21" s="388">
        <f>SUM('TOTAL 2016'!B21:J21)</f>
        <v>38794663.590000004</v>
      </c>
      <c r="P21" s="633">
        <f t="shared" si="2"/>
        <v>9.2333382958457388E-2</v>
      </c>
      <c r="Q21" s="566">
        <f t="shared" si="1"/>
        <v>0.43509003555075237</v>
      </c>
    </row>
    <row r="22" spans="1:20">
      <c r="A22" s="151" t="s">
        <v>45</v>
      </c>
      <c r="B22" s="327">
        <f>'R 2017'!B21+'TRT 2017'!B22</f>
        <v>32311.39</v>
      </c>
      <c r="C22" s="327">
        <f>'R 2017'!C21+'TRT 2017'!C22</f>
        <v>53597.659999999996</v>
      </c>
      <c r="D22" s="327">
        <f>'R 2017'!D21+'TRT 2017'!D22</f>
        <v>13217.32</v>
      </c>
      <c r="E22" s="327">
        <f>'R 2017'!E21+'TRT 2017'!E22</f>
        <v>35638.47</v>
      </c>
      <c r="F22" s="327">
        <f>'R 2017'!F21+'TRT 2017'!F22</f>
        <v>66577.320000000007</v>
      </c>
      <c r="G22" s="327">
        <f>'R 2017'!G21+'TRT 2017'!G22</f>
        <v>83171.430000000008</v>
      </c>
      <c r="H22" s="327">
        <f>'R 2017'!H21+'TRT 2017'!H22</f>
        <v>110260.28</v>
      </c>
      <c r="I22" s="327">
        <f>'R 2017'!I21+'TRT 2017'!I22</f>
        <v>157526.63</v>
      </c>
      <c r="J22" s="327">
        <f>'R 2017'!J21+'TRT 2017'!J22</f>
        <v>107899.77</v>
      </c>
      <c r="K22" s="327">
        <f>'R 2017'!K21+'TRT 2017'!K22</f>
        <v>0</v>
      </c>
      <c r="L22" s="327">
        <f>'R 2017'!L21+'TRT 2017'!L22</f>
        <v>0</v>
      </c>
      <c r="M22" s="327">
        <f>'R 2017'!M21+'TRT 2017'!M22</f>
        <v>0</v>
      </c>
      <c r="N22" s="497">
        <f t="shared" si="0"/>
        <v>660200.27</v>
      </c>
      <c r="O22" s="388">
        <f>SUM('TOTAL 2016'!B22:J22)</f>
        <v>626137.67000000004</v>
      </c>
      <c r="P22" s="633">
        <f t="shared" si="2"/>
        <v>5.4401135136942003E-2</v>
      </c>
      <c r="Q22" s="566">
        <f t="shared" si="1"/>
        <v>6.7784069420475362E-3</v>
      </c>
    </row>
    <row r="23" spans="1:20">
      <c r="A23" s="151" t="s">
        <v>32</v>
      </c>
      <c r="B23" s="327">
        <f>'R 2017'!B22+'TRT 2017'!B23</f>
        <v>11768.61</v>
      </c>
      <c r="C23" s="327">
        <f>'R 2017'!C22+'TRT 2017'!C23</f>
        <v>35172.94</v>
      </c>
      <c r="D23" s="327">
        <f>'R 2017'!D22+'TRT 2017'!D23</f>
        <v>6280.8700000000008</v>
      </c>
      <c r="E23" s="327">
        <f>'R 2017'!E22+'TRT 2017'!E23</f>
        <v>10470.540000000001</v>
      </c>
      <c r="F23" s="327">
        <f>'R 2017'!F22+'TRT 2017'!F23</f>
        <v>39130.54</v>
      </c>
      <c r="G23" s="327">
        <f>'R 2017'!G22+'TRT 2017'!G23</f>
        <v>8679.98</v>
      </c>
      <c r="H23" s="327">
        <f>'R 2017'!H22+'TRT 2017'!H23</f>
        <v>13675.39</v>
      </c>
      <c r="I23" s="327">
        <f>'R 2017'!I22+'TRT 2017'!I23</f>
        <v>62573.760000000002</v>
      </c>
      <c r="J23" s="327">
        <f>'R 2017'!J22+'TRT 2017'!J23</f>
        <v>13629.25</v>
      </c>
      <c r="K23" s="327">
        <f>'R 2017'!K22+'TRT 2017'!K23</f>
        <v>0</v>
      </c>
      <c r="L23" s="327">
        <f>'R 2017'!L22+'TRT 2017'!L23</f>
        <v>0</v>
      </c>
      <c r="M23" s="327">
        <f>'R 2017'!M22+'TRT 2017'!M23</f>
        <v>0</v>
      </c>
      <c r="N23" s="497">
        <f t="shared" si="0"/>
        <v>201381.88</v>
      </c>
      <c r="O23" s="388">
        <f>SUM('TOTAL 2016'!B23:J23)</f>
        <v>190754.77000000002</v>
      </c>
      <c r="P23" s="633">
        <f t="shared" si="2"/>
        <v>5.571084801706383E-2</v>
      </c>
      <c r="Q23" s="566">
        <f t="shared" si="1"/>
        <v>2.0676276509165679E-3</v>
      </c>
    </row>
    <row r="24" spans="1:20">
      <c r="A24" s="151" t="s">
        <v>33</v>
      </c>
      <c r="B24" s="327">
        <f>'R 2017'!B23+'TRT 2017'!B24+'CR 2017'!C9</f>
        <v>42892.819999999992</v>
      </c>
      <c r="C24" s="327">
        <f>'R 2017'!C23+'TRT 2017'!C24+'CR 2017'!D9</f>
        <v>62229.35</v>
      </c>
      <c r="D24" s="327">
        <f>'R 2017'!D23+'TRT 2017'!D24+'CR 2017'!E9</f>
        <v>43825.149999999994</v>
      </c>
      <c r="E24" s="327">
        <f>'R 2017'!E23+'TRT 2017'!E24+'CR 2017'!F9</f>
        <v>49053.07</v>
      </c>
      <c r="F24" s="327">
        <f>'R 2017'!F23+'TRT 2017'!F24+'CR 2017'!G9</f>
        <v>69245.179999999993</v>
      </c>
      <c r="G24" s="327">
        <f>'R 2017'!G23+'TRT 2017'!G24+'CR 2017'!H9</f>
        <v>62971.48</v>
      </c>
      <c r="H24" s="327">
        <f>'R 2017'!H23+'TRT 2017'!H24+'CR 2017'!I9</f>
        <v>134129.97</v>
      </c>
      <c r="I24" s="327">
        <f>'R 2017'!I23+'TRT 2017'!I24+'CR 2017'!J9</f>
        <v>122231.93</v>
      </c>
      <c r="J24" s="327">
        <f>'R 2017'!J23+'TRT 2017'!J24+'CR 2017'!K9</f>
        <v>87187.24</v>
      </c>
      <c r="K24" s="327">
        <f>'R 2017'!K23+'TRT 2017'!K24+'CR 2017'!L9</f>
        <v>0</v>
      </c>
      <c r="L24" s="327">
        <f>'R 2017'!L23+'TRT 2017'!L24+'CR 2017'!M9</f>
        <v>0</v>
      </c>
      <c r="M24" s="327">
        <f>'R 2017'!M23+'TRT 2017'!M24+'CR 2017'!N9</f>
        <v>0</v>
      </c>
      <c r="N24" s="497">
        <f t="shared" si="0"/>
        <v>673766.19</v>
      </c>
      <c r="O24" s="388">
        <f>SUM('TOTAL 2016'!B24:J24)</f>
        <v>593430.74</v>
      </c>
      <c r="P24" s="633">
        <f t="shared" si="2"/>
        <v>0.13537460159209136</v>
      </c>
      <c r="Q24" s="566">
        <f t="shared" si="1"/>
        <v>6.9176909297733536E-3</v>
      </c>
    </row>
    <row r="25" spans="1:20">
      <c r="A25" s="151" t="s">
        <v>34</v>
      </c>
      <c r="B25" s="327">
        <f>'R 2017'!B24+'TRT 2017'!B25</f>
        <v>665050.19999999995</v>
      </c>
      <c r="C25" s="327">
        <f>'R 2017'!C24+'TRT 2017'!C25</f>
        <v>1809769.14</v>
      </c>
      <c r="D25" s="327">
        <f>'R 2017'!D24+'TRT 2017'!D25</f>
        <v>2121667.98</v>
      </c>
      <c r="E25" s="327">
        <f>'R 2017'!E24+'TRT 2017'!E25</f>
        <v>2111891.65</v>
      </c>
      <c r="F25" s="327">
        <f>'R 2017'!F24+'TRT 2017'!F25</f>
        <v>1984114.34</v>
      </c>
      <c r="G25" s="327">
        <f>'R 2017'!G24+'TRT 2017'!G25</f>
        <v>346839.38</v>
      </c>
      <c r="H25" s="327">
        <f>'R 2017'!H24+'TRT 2017'!H25</f>
        <v>320719.58</v>
      </c>
      <c r="I25" s="327">
        <f>'R 2017'!I24+'TRT 2017'!I25</f>
        <v>661047.75</v>
      </c>
      <c r="J25" s="327">
        <f>'R 2017'!J24+'TRT 2017'!J25</f>
        <v>758302.58</v>
      </c>
      <c r="K25" s="327">
        <f>'R 2017'!K24+'TRT 2017'!K25</f>
        <v>0</v>
      </c>
      <c r="L25" s="327">
        <f>'R 2017'!L24+'TRT 2017'!L25</f>
        <v>0</v>
      </c>
      <c r="M25" s="327">
        <f>'R 2017'!M24+'TRT 2017'!M25</f>
        <v>0</v>
      </c>
      <c r="N25" s="497">
        <f t="shared" si="0"/>
        <v>10779402.600000001</v>
      </c>
      <c r="O25" s="388">
        <f>SUM('TOTAL 2016'!B25:J25)</f>
        <v>9704910.6699999981</v>
      </c>
      <c r="P25" s="633">
        <f t="shared" si="2"/>
        <v>0.11071631327030063</v>
      </c>
      <c r="Q25" s="566">
        <f t="shared" si="1"/>
        <v>0.1106742616372533</v>
      </c>
    </row>
    <row r="26" spans="1:20">
      <c r="A26" s="151" t="s">
        <v>35</v>
      </c>
      <c r="B26" s="327">
        <f>'R 2017'!B25+'TRT 2017'!B26</f>
        <v>63175.439999999995</v>
      </c>
      <c r="C26" s="327">
        <f>'R 2017'!C25+'TRT 2017'!C26</f>
        <v>84988.84</v>
      </c>
      <c r="D26" s="327">
        <f>'R 2017'!D25+'TRT 2017'!D26</f>
        <v>48876.3</v>
      </c>
      <c r="E26" s="327">
        <f>'R 2017'!E25+'TRT 2017'!E26</f>
        <v>67903.320000000007</v>
      </c>
      <c r="F26" s="327">
        <f>'R 2017'!F25+'TRT 2017'!F26</f>
        <v>99391</v>
      </c>
      <c r="G26" s="327">
        <f>'R 2017'!G25+'TRT 2017'!G26</f>
        <v>72217.210000000006</v>
      </c>
      <c r="H26" s="327">
        <f>'R 2017'!H25+'TRT 2017'!H26</f>
        <v>98884.75</v>
      </c>
      <c r="I26" s="327">
        <f>'R 2017'!I25+'TRT 2017'!I26</f>
        <v>105558.38</v>
      </c>
      <c r="J26" s="327">
        <f>'R 2017'!J25+'TRT 2017'!J26</f>
        <v>98134.63</v>
      </c>
      <c r="K26" s="327">
        <f>'R 2017'!K25+'TRT 2017'!K26</f>
        <v>0</v>
      </c>
      <c r="L26" s="327">
        <f>'R 2017'!L25+'TRT 2017'!L26</f>
        <v>0</v>
      </c>
      <c r="M26" s="327">
        <f>'R 2017'!M25+'TRT 2017'!M26</f>
        <v>0</v>
      </c>
      <c r="N26" s="497">
        <f t="shared" si="0"/>
        <v>739129.87000000011</v>
      </c>
      <c r="O26" s="388">
        <f>SUM('TOTAL 2016'!B26:J26)</f>
        <v>673400.84</v>
      </c>
      <c r="P26" s="633">
        <f t="shared" si="2"/>
        <v>9.7607585401883634E-2</v>
      </c>
      <c r="Q26" s="566">
        <f>N26/$N$33</f>
        <v>7.5887927793223927E-3</v>
      </c>
    </row>
    <row r="27" spans="1:20" s="154" customFormat="1">
      <c r="A27" s="151" t="s">
        <v>36</v>
      </c>
      <c r="B27" s="327">
        <f>'R 2017'!B26+'CR 2017'!C10+'TRT 2017'!B27</f>
        <v>58749.710000000006</v>
      </c>
      <c r="C27" s="327">
        <f>'R 2017'!C26+'CR 2017'!D10+'TRT 2017'!C27</f>
        <v>56359.29</v>
      </c>
      <c r="D27" s="327">
        <f>'R 2017'!D26+'CR 2017'!E10+'TRT 2017'!D27</f>
        <v>49456.02</v>
      </c>
      <c r="E27" s="327">
        <f>'R 2017'!E26+'CR 2017'!F10+'TRT 2017'!E27</f>
        <v>55028.89</v>
      </c>
      <c r="F27" s="327">
        <f>'R 2017'!F26+'CR 2017'!G10+'TRT 2017'!F27</f>
        <v>76839.149999999994</v>
      </c>
      <c r="G27" s="327">
        <f>'R 2017'!G26+'CR 2017'!H10+'TRT 2017'!G27</f>
        <v>76302.829999999987</v>
      </c>
      <c r="H27" s="327">
        <f>'R 2017'!H26+'CR 2017'!I10+'TRT 2017'!H27</f>
        <v>71261.34</v>
      </c>
      <c r="I27" s="327">
        <f>'R 2017'!I26+'CR 2017'!J10+'TRT 2017'!I27</f>
        <v>123920.79999999999</v>
      </c>
      <c r="J27" s="327">
        <f>'R 2017'!J26+'CR 2017'!K10+'TRT 2017'!J27</f>
        <v>79953.210000000006</v>
      </c>
      <c r="K27" s="327">
        <f>'R 2017'!K26+'CR 2017'!L10+'TRT 2017'!K27</f>
        <v>0</v>
      </c>
      <c r="L27" s="327">
        <f>'R 2017'!L26+'CR 2017'!M10+'TRT 2017'!L27</f>
        <v>0</v>
      </c>
      <c r="M27" s="327">
        <f>'R 2017'!M26+'CR 2017'!N10+'TRT 2017'!M27</f>
        <v>0</v>
      </c>
      <c r="N27" s="497">
        <f t="shared" si="0"/>
        <v>647871.23999999976</v>
      </c>
      <c r="O27" s="388">
        <f>SUM('TOTAL 2016'!B27:J27)</f>
        <v>662164.48999999987</v>
      </c>
      <c r="P27" s="633">
        <f t="shared" si="2"/>
        <v>-2.1585648605228158E-2</v>
      </c>
      <c r="Q27" s="566">
        <f t="shared" si="1"/>
        <v>6.6518223489501812E-3</v>
      </c>
    </row>
    <row r="28" spans="1:20">
      <c r="A28" s="151" t="s">
        <v>37</v>
      </c>
      <c r="B28" s="327">
        <f>'R 2017'!B27+'CR 2017'!C11+'TRT 2017'!B28</f>
        <v>864744.59000000008</v>
      </c>
      <c r="C28" s="327">
        <f>'R 2017'!C27+'CR 2017'!D11+'TRT 2017'!C28</f>
        <v>1086587.56</v>
      </c>
      <c r="D28" s="327">
        <f>'R 2017'!D27+'CR 2017'!E11+'TRT 2017'!D28</f>
        <v>823021.47</v>
      </c>
      <c r="E28" s="327">
        <f>'R 2017'!E27+'CR 2017'!F11+'TRT 2017'!E28</f>
        <v>975597.44</v>
      </c>
      <c r="F28" s="327">
        <f>'R 2017'!F27+'CR 2017'!G11+'TRT 2017'!F28</f>
        <v>1151679.1000000001</v>
      </c>
      <c r="G28" s="327">
        <f>'R 2017'!G27+'CR 2017'!H11+'TRT 2017'!G28</f>
        <v>889210.41999999993</v>
      </c>
      <c r="H28" s="327">
        <f>'R 2017'!H27+'CR 2017'!I11+'TRT 2017'!H28</f>
        <v>953385.34</v>
      </c>
      <c r="I28" s="327">
        <f>'R 2017'!I27+'CR 2017'!J11+'TRT 2017'!I28</f>
        <v>1364298.15</v>
      </c>
      <c r="J28" s="327">
        <f>'R 2017'!J27+'CR 2017'!K11+'TRT 2017'!J28</f>
        <v>1111277</v>
      </c>
      <c r="K28" s="327">
        <f>'R 2017'!K27+'CR 2017'!L11+'TRT 2017'!K28</f>
        <v>0</v>
      </c>
      <c r="L28" s="327">
        <f>'R 2017'!L27+'CR 2017'!M11+'TRT 2017'!L28</f>
        <v>0</v>
      </c>
      <c r="M28" s="327">
        <f>'R 2017'!M27+'CR 2017'!N11+'TRT 2017'!M28</f>
        <v>0</v>
      </c>
      <c r="N28" s="497">
        <f t="shared" si="0"/>
        <v>9219801.0700000003</v>
      </c>
      <c r="O28" s="388">
        <f>SUM('TOTAL 2016'!B28:J28)</f>
        <v>8540635.5399999991</v>
      </c>
      <c r="P28" s="633">
        <f t="shared" si="2"/>
        <v>7.9521661686549505E-2</v>
      </c>
      <c r="Q28" s="566">
        <f t="shared" si="1"/>
        <v>9.4661523808806242E-2</v>
      </c>
      <c r="T28" s="154"/>
    </row>
    <row r="29" spans="1:20">
      <c r="A29" s="151" t="s">
        <v>38</v>
      </c>
      <c r="B29" s="327">
        <f>'R 2017'!B28+'TRT 2017'!B29</f>
        <v>78827.37</v>
      </c>
      <c r="C29" s="327">
        <f>'R 2017'!C28+'TRT 2017'!C29</f>
        <v>306761.27</v>
      </c>
      <c r="D29" s="327">
        <f>'R 2017'!D28+'TRT 2017'!D29</f>
        <v>319344.44</v>
      </c>
      <c r="E29" s="327">
        <f>'R 2017'!E28+'TRT 2017'!E29</f>
        <v>285054.5</v>
      </c>
      <c r="F29" s="327">
        <f>'R 2017'!F28+'TRT 2017'!F29</f>
        <v>267677.03999999998</v>
      </c>
      <c r="G29" s="327">
        <f>'R 2017'!G28+'TRT 2017'!G29</f>
        <v>87065.22</v>
      </c>
      <c r="H29" s="327">
        <f>'R 2017'!H28+'TRT 2017'!H29</f>
        <v>113113.85999999999</v>
      </c>
      <c r="I29" s="327">
        <f>'R 2017'!I28+'TRT 2017'!I29</f>
        <v>225957.83000000002</v>
      </c>
      <c r="J29" s="327">
        <f>'R 2017'!J28+'TRT 2017'!J29</f>
        <v>264696.58999999997</v>
      </c>
      <c r="K29" s="327">
        <f>'R 2017'!K28+'TRT 2017'!K29</f>
        <v>0</v>
      </c>
      <c r="L29" s="327">
        <f>'R 2017'!L28+'TRT 2017'!L29</f>
        <v>0</v>
      </c>
      <c r="M29" s="327">
        <f>'R 2017'!M28+'TRT 2017'!M29</f>
        <v>0</v>
      </c>
      <c r="N29" s="497">
        <f t="shared" si="0"/>
        <v>1948498.12</v>
      </c>
      <c r="O29" s="388">
        <f>SUM('TOTAL 2016'!B29:J29)</f>
        <v>1779151.4500000002</v>
      </c>
      <c r="P29" s="633">
        <f t="shared" si="2"/>
        <v>9.5183954125996451E-2</v>
      </c>
      <c r="Q29" s="566">
        <f t="shared" si="1"/>
        <v>2.0005616149133921E-2</v>
      </c>
      <c r="T29" s="154"/>
    </row>
    <row r="30" spans="1:20">
      <c r="A30" s="92" t="s">
        <v>39</v>
      </c>
      <c r="B30" s="327">
        <f>'R 2017'!B29+'CR 2017'!C12+'TRT 2017'!B30</f>
        <v>670101.23</v>
      </c>
      <c r="C30" s="327">
        <f>'R 2017'!C29+'CR 2017'!D12+'TRT 2017'!C30</f>
        <v>641401.37</v>
      </c>
      <c r="D30" s="327">
        <f>'R 2017'!D29+'CR 2017'!E12+'TRT 2017'!D30</f>
        <v>544086.62</v>
      </c>
      <c r="E30" s="327">
        <f>'R 2017'!E29+'CR 2017'!F12+'TRT 2017'!E30</f>
        <v>783893.41999999993</v>
      </c>
      <c r="F30" s="327">
        <f>'R 2017'!F29+'CR 2017'!G12+'TRT 2017'!F30</f>
        <v>1109064.6000000001</v>
      </c>
      <c r="G30" s="327">
        <f>'R 2017'!G29+'CR 2017'!H12+'TRT 2017'!G30</f>
        <v>980821.73</v>
      </c>
      <c r="H30" s="327">
        <f>'R 2017'!H29+'CR 2017'!I12+'TRT 2017'!H30</f>
        <v>972251.02</v>
      </c>
      <c r="I30" s="327">
        <f>'R 2017'!I29+'CR 2017'!J12+'TRT 2017'!I30</f>
        <v>1351213.69</v>
      </c>
      <c r="J30" s="327">
        <f>'R 2017'!J29+'CR 2017'!K12+'TRT 2017'!J30</f>
        <v>954414.74</v>
      </c>
      <c r="K30" s="327">
        <f>'R 2017'!K29+'CR 2017'!L12+'TRT 2017'!K30</f>
        <v>0</v>
      </c>
      <c r="L30" s="327">
        <f>'R 2017'!L29+'CR 2017'!M12+'TRT 2017'!L30</f>
        <v>0</v>
      </c>
      <c r="M30" s="327">
        <f>'R 2017'!M29+'CR 2017'!N12+'TRT 2017'!M30</f>
        <v>0</v>
      </c>
      <c r="N30" s="497">
        <f t="shared" si="0"/>
        <v>8007248.4199999999</v>
      </c>
      <c r="O30" s="388">
        <f>SUM('TOTAL 2016'!B30:J30)</f>
        <v>7094812.21</v>
      </c>
      <c r="P30" s="633">
        <f t="shared" si="2"/>
        <v>0.12860611147874201</v>
      </c>
      <c r="Q30" s="566">
        <f t="shared" si="1"/>
        <v>8.2212005573440869E-2</v>
      </c>
      <c r="T30" s="154"/>
    </row>
    <row r="31" spans="1:20">
      <c r="A31" s="92" t="s">
        <v>40</v>
      </c>
      <c r="B31" s="327">
        <f>'R 2017'!B30+'TRT 2017'!B31</f>
        <v>15774.349999999999</v>
      </c>
      <c r="C31" s="327">
        <f>'R 2017'!C30+'TRT 2017'!C31</f>
        <v>25802.83</v>
      </c>
      <c r="D31" s="327">
        <f>'R 2017'!D30+'TRT 2017'!D31</f>
        <v>5837</v>
      </c>
      <c r="E31" s="327">
        <f>'R 2017'!E30+'TRT 2017'!E31</f>
        <v>23105.79</v>
      </c>
      <c r="F31" s="327">
        <f>'R 2017'!F30+'TRT 2017'!F31</f>
        <v>24793.89</v>
      </c>
      <c r="G31" s="327">
        <f>'R 2017'!G30+'TRT 2017'!G31</f>
        <v>53962.799999999996</v>
      </c>
      <c r="H31" s="327">
        <f>'R 2017'!H30+'TRT 2017'!H31</f>
        <v>59579.38</v>
      </c>
      <c r="I31" s="327">
        <f>'R 2017'!I30+'TRT 2017'!I31</f>
        <v>97153.44</v>
      </c>
      <c r="J31" s="327">
        <f>'R 2017'!J30+'TRT 2017'!J31</f>
        <v>52703.75</v>
      </c>
      <c r="K31" s="327">
        <f>'R 2017'!K30+'TRT 2017'!K31</f>
        <v>0</v>
      </c>
      <c r="L31" s="327">
        <f>'R 2017'!L30+'TRT 2017'!L31</f>
        <v>0</v>
      </c>
      <c r="M31" s="327">
        <f>'R 2017'!M30+'TRT 2017'!M31</f>
        <v>0</v>
      </c>
      <c r="N31" s="497">
        <f t="shared" si="0"/>
        <v>358713.23</v>
      </c>
      <c r="O31" s="388">
        <f>SUM('TOTAL 2016'!B31:J31)</f>
        <v>287696.49</v>
      </c>
      <c r="P31" s="633">
        <f t="shared" si="2"/>
        <v>0.24684604250820019</v>
      </c>
      <c r="Q31" s="566">
        <f t="shared" si="1"/>
        <v>3.6829797849617578E-3</v>
      </c>
    </row>
    <row r="32" spans="1:20" ht="13" thickBot="1">
      <c r="A32" s="93" t="s">
        <v>41</v>
      </c>
      <c r="B32" s="499">
        <f>'R 2017'!B31+'CR 2017'!C13+'TRT 2017'!B32</f>
        <v>377142.72000000003</v>
      </c>
      <c r="C32" s="499">
        <f>'R 2017'!C31+'CR 2017'!D13+'TRT 2017'!C32</f>
        <v>494656.42</v>
      </c>
      <c r="D32" s="499">
        <f>'R 2017'!D31+'CR 2017'!E13+'TRT 2017'!D32</f>
        <v>374711.7</v>
      </c>
      <c r="E32" s="499">
        <f>'R 2017'!E31+'CR 2017'!F13+'TRT 2017'!E32</f>
        <v>453399.07999999996</v>
      </c>
      <c r="F32" s="499">
        <f>'R 2017'!F31+'CR 2017'!G13+'TRT 2017'!F32</f>
        <v>577466.08000000007</v>
      </c>
      <c r="G32" s="499">
        <f>'R 2017'!G31+'CR 2017'!H13+'TRT 2017'!G32</f>
        <v>380586.5</v>
      </c>
      <c r="H32" s="499">
        <f>'R 2017'!H31+'CR 2017'!I13+'TRT 2017'!H32</f>
        <v>422938.67</v>
      </c>
      <c r="I32" s="499">
        <f>'R 2017'!I31+'CR 2017'!J13+'TRT 2017'!I32</f>
        <v>595667.05000000005</v>
      </c>
      <c r="J32" s="499">
        <f>'R 2017'!J31+'CR 2017'!K13+'TRT 2017'!J32</f>
        <v>478803.32999999996</v>
      </c>
      <c r="K32" s="499">
        <f>'R 2017'!K31+'CR 2017'!L13+'TRT 2017'!K32</f>
        <v>0</v>
      </c>
      <c r="L32" s="499">
        <f>'R 2017'!L31+'CR 2017'!M13+'TRT 2017'!L32</f>
        <v>0</v>
      </c>
      <c r="M32" s="499">
        <f>'R 2017'!M31+'CR 2017'!N13+'TRT 2017'!M32</f>
        <v>0</v>
      </c>
      <c r="N32" s="500">
        <f t="shared" si="0"/>
        <v>4155371.55</v>
      </c>
      <c r="O32" s="388">
        <f>SUM('TOTAL 2016'!B32:J32)</f>
        <v>3895624.55</v>
      </c>
      <c r="P32" s="634">
        <f>N32/O32-1</f>
        <v>6.6676600033234834E-2</v>
      </c>
      <c r="Q32" s="567">
        <f t="shared" si="1"/>
        <v>4.2664022784036165E-2</v>
      </c>
    </row>
    <row r="33" spans="1:20" ht="14" thickTop="1" thickBot="1">
      <c r="A33" s="470" t="s">
        <v>54</v>
      </c>
      <c r="B33" s="501">
        <f t="shared" ref="B33:N33" si="3">SUM(B4:B32)</f>
        <v>7650499.1900000004</v>
      </c>
      <c r="C33" s="502">
        <f t="shared" si="3"/>
        <v>10795960.369999999</v>
      </c>
      <c r="D33" s="501">
        <f t="shared" si="3"/>
        <v>10011095.479999997</v>
      </c>
      <c r="E33" s="501">
        <f t="shared" si="3"/>
        <v>11274517.979999999</v>
      </c>
      <c r="F33" s="501">
        <f t="shared" si="3"/>
        <v>13699372.959999999</v>
      </c>
      <c r="G33" s="501">
        <f t="shared" si="3"/>
        <v>8654355.0199999996</v>
      </c>
      <c r="H33" s="503">
        <f t="shared" si="3"/>
        <v>9628122.3800000008</v>
      </c>
      <c r="I33" s="501">
        <f t="shared" si="3"/>
        <v>14083185.420000002</v>
      </c>
      <c r="J33" s="501">
        <f t="shared" si="3"/>
        <v>11600447.240000002</v>
      </c>
      <c r="K33" s="501">
        <f t="shared" si="3"/>
        <v>0</v>
      </c>
      <c r="L33" s="501">
        <f t="shared" si="3"/>
        <v>0</v>
      </c>
      <c r="M33" s="504">
        <f t="shared" si="3"/>
        <v>0</v>
      </c>
      <c r="N33" s="505">
        <f t="shared" si="3"/>
        <v>97397556.040000007</v>
      </c>
      <c r="O33" s="453">
        <f>SUM(O4:O32)</f>
        <v>88959490.07100001</v>
      </c>
      <c r="P33" s="476">
        <f>(N33-O33)/O33</f>
        <v>9.4852903970846059E-2</v>
      </c>
      <c r="Q33" s="568">
        <f>SUM(Q4:Q32)</f>
        <v>0.99999999999999989</v>
      </c>
      <c r="T33" s="219"/>
    </row>
    <row r="34" spans="1:20" ht="13" thickBot="1">
      <c r="A34" s="537" t="s">
        <v>344</v>
      </c>
      <c r="B34" s="538">
        <f>B33/'TOTAL 2016'!B33-1</f>
        <v>0.17199243493164862</v>
      </c>
      <c r="C34" s="538">
        <f>C33/'TOTAL 2016'!C33-1</f>
        <v>4.8776610949932575E-2</v>
      </c>
      <c r="D34" s="538">
        <f>D33/'TOTAL 2016'!D33-1</f>
        <v>5.6626018719659887E-2</v>
      </c>
      <c r="E34" s="538">
        <f>E33/'TOTAL 2016'!E33-1</f>
        <v>0.31488400863885513</v>
      </c>
      <c r="F34" s="538">
        <f>F33/'TOTAL 2016'!F33-1</f>
        <v>-9.2501585701187938E-4</v>
      </c>
      <c r="G34" s="538">
        <f>G33/'TOTAL 2016'!G33-1</f>
        <v>9.9927947761437652E-2</v>
      </c>
      <c r="H34" s="538">
        <f>H33/'TOTAL 2016'!H33-1</f>
        <v>7.3906885046522319E-2</v>
      </c>
      <c r="I34" s="538">
        <f>I33/'TOTAL 2016'!I33-1</f>
        <v>0.14629931527493745</v>
      </c>
      <c r="J34" s="538">
        <f>J33/'TOTAL 2016'!J33-1</f>
        <v>3.0484478487133426E-2</v>
      </c>
      <c r="K34" s="538">
        <f>K33/'TOTAL 2016'!K33-1</f>
        <v>-1</v>
      </c>
      <c r="L34" s="538">
        <f>L33/'TOTAL 2016'!L33-1</f>
        <v>-1</v>
      </c>
      <c r="M34" s="538">
        <f>M33/'TOTAL 2016'!M33-1</f>
        <v>-1</v>
      </c>
      <c r="N34" s="569"/>
      <c r="O34" s="570"/>
      <c r="P34" s="571"/>
      <c r="Q34" s="574"/>
    </row>
    <row r="35" spans="1:20">
      <c r="A35" s="688" t="s">
        <v>345</v>
      </c>
      <c r="B35" s="689"/>
      <c r="C35" s="689"/>
      <c r="D35" s="689"/>
      <c r="E35" s="689"/>
      <c r="F35" s="689"/>
      <c r="G35" s="689"/>
      <c r="H35" s="689"/>
      <c r="I35" s="689"/>
      <c r="J35" s="689"/>
      <c r="K35" s="689"/>
      <c r="L35" s="689"/>
      <c r="M35" s="689"/>
      <c r="N35" s="689"/>
      <c r="O35" s="689"/>
      <c r="P35" s="689"/>
      <c r="Q35" s="689"/>
    </row>
    <row r="36" spans="1:20">
      <c r="I36" s="116"/>
    </row>
    <row r="37" spans="1:20">
      <c r="I37" s="116"/>
      <c r="J37" s="121"/>
      <c r="T37" s="227"/>
    </row>
    <row r="38" spans="1:20">
      <c r="I38" s="116"/>
      <c r="J38" s="121"/>
    </row>
    <row r="39" spans="1:20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20">
      <c r="I40" s="116"/>
    </row>
    <row r="41" spans="1:20">
      <c r="I41" s="116"/>
    </row>
    <row r="84" spans="16:16" ht="13" thickBot="1">
      <c r="P84" s="169"/>
    </row>
  </sheetData>
  <mergeCells count="2">
    <mergeCell ref="A1:Q1"/>
    <mergeCell ref="A35:Q35"/>
  </mergeCells>
  <conditionalFormatting sqref="P8:Q32">
    <cfRule type="cellIs" dxfId="15" priority="2" operator="lessThan">
      <formula>0</formula>
    </cfRule>
  </conditionalFormatting>
  <conditionalFormatting sqref="P4">
    <cfRule type="cellIs" dxfId="14" priority="1" operator="lessThan">
      <formula>0</formula>
    </cfRule>
  </conditionalFormatting>
  <hyperlinks>
    <hyperlink ref="A35" r:id="rId1"/>
  </hyperlinks>
  <printOptions horizontalCentered="1"/>
  <pageMargins left="0.25" right="0.25" top="0.25" bottom="0.25" header="0" footer="0"/>
  <pageSetup scale="84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theme="1"/>
    <pageSetUpPr fitToPage="1"/>
  </sheetPr>
  <dimension ref="A1:Q38"/>
  <sheetViews>
    <sheetView workbookViewId="0">
      <selection activeCell="P43" sqref="P43"/>
    </sheetView>
  </sheetViews>
  <sheetFormatPr baseColWidth="10" defaultColWidth="8.83203125" defaultRowHeight="12" x14ac:dyDescent="0"/>
  <cols>
    <col min="2" max="3" width="8.6640625" bestFit="1" customWidth="1"/>
    <col min="9" max="9" width="11.1640625" bestFit="1" customWidth="1"/>
    <col min="14" max="14" width="9.33203125" customWidth="1"/>
    <col min="15" max="15" width="9.5" bestFit="1" customWidth="1"/>
  </cols>
  <sheetData>
    <row r="1" spans="1:17" ht="21">
      <c r="A1" s="691" t="s">
        <v>96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</row>
    <row r="2" spans="1:17" ht="13" thickBot="1">
      <c r="A2" s="47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s="154" customFormat="1" ht="13" thickBot="1">
      <c r="A3" s="155" t="s">
        <v>42</v>
      </c>
      <c r="B3" s="156" t="s">
        <v>2</v>
      </c>
      <c r="C3" s="157" t="s">
        <v>3</v>
      </c>
      <c r="D3" s="156" t="s">
        <v>4</v>
      </c>
      <c r="E3" s="156" t="s">
        <v>5</v>
      </c>
      <c r="F3" s="156" t="s">
        <v>6</v>
      </c>
      <c r="G3" s="156" t="s">
        <v>7</v>
      </c>
      <c r="H3" s="156" t="s">
        <v>8</v>
      </c>
      <c r="I3" s="156" t="s">
        <v>9</v>
      </c>
      <c r="J3" s="156" t="s">
        <v>10</v>
      </c>
      <c r="K3" s="156" t="s">
        <v>11</v>
      </c>
      <c r="L3" s="156" t="s">
        <v>12</v>
      </c>
      <c r="M3" s="158" t="s">
        <v>13</v>
      </c>
      <c r="N3" s="159" t="s">
        <v>92</v>
      </c>
      <c r="O3" s="156" t="s">
        <v>87</v>
      </c>
      <c r="P3" s="160" t="s">
        <v>16</v>
      </c>
      <c r="Q3" s="161" t="s">
        <v>58</v>
      </c>
    </row>
    <row r="4" spans="1:17">
      <c r="A4" s="92" t="s">
        <v>17</v>
      </c>
      <c r="B4" s="36">
        <f>SUM('R 2008'!B4+'TRT 2008'!B4)</f>
        <v>9135.94</v>
      </c>
      <c r="C4" s="36">
        <f>SUM('R 2008'!C4+'TRT 2008'!C4)</f>
        <v>32799.800000000003</v>
      </c>
      <c r="D4" s="36">
        <f>SUM('R 2008'!D4+'TRT 2008'!D4)</f>
        <v>7500.99</v>
      </c>
      <c r="E4" s="36">
        <f>SUM('R 2008'!E4+'TRT 2008'!E4)</f>
        <v>6321.1100000000006</v>
      </c>
      <c r="F4" s="36">
        <f>SUM('R 2008'!F4+'TRT 2008'!F4)</f>
        <v>29072.079999999998</v>
      </c>
      <c r="G4" s="36">
        <f>SUM('R 2008'!G4+'TRT 2008'!G4)</f>
        <v>9944.5600000000013</v>
      </c>
      <c r="H4" s="36">
        <f>SUM('R 2008'!H4+'TRT 2008'!H4)</f>
        <v>22104.25</v>
      </c>
      <c r="I4" s="36">
        <f>SUM('R 2008'!I4+'TRT 2008'!I4)</f>
        <v>39703.479999999996</v>
      </c>
      <c r="J4" s="36">
        <f>SUM('R 2008'!J4+'TRT 2008'!J4)</f>
        <v>27229.17</v>
      </c>
      <c r="K4" s="36">
        <f>SUM('R 2008'!K4+'TRT 2008'!K4)</f>
        <v>10610.61</v>
      </c>
      <c r="L4" s="36">
        <f>SUM('R 2008'!L4+'TRT 2008'!L4)</f>
        <v>49665.57</v>
      </c>
      <c r="M4" s="36">
        <f>SUM('R 2008'!M4+'TRT 2008'!M4)</f>
        <v>7559.97</v>
      </c>
      <c r="N4" s="81">
        <f t="shared" ref="N4:N32" si="0">SUM(B4:M4)</f>
        <v>251647.53</v>
      </c>
      <c r="O4" s="19">
        <f>SUM('TOTAL 2007'!B4:M4)</f>
        <v>247698.22</v>
      </c>
      <c r="P4" s="84">
        <f t="shared" ref="P4:P32" si="1">N4/O4-1</f>
        <v>1.5944038677387251E-2</v>
      </c>
      <c r="Q4" s="22">
        <f>N4/$N$33</f>
        <v>3.1001899076180789E-3</v>
      </c>
    </row>
    <row r="5" spans="1:17">
      <c r="A5" s="92" t="s">
        <v>18</v>
      </c>
      <c r="B5" s="19">
        <f>SUM('R 2008'!B5+'TRT 2008'!B5)</f>
        <v>32626.469999999998</v>
      </c>
      <c r="C5" s="19">
        <f>SUM('R 2008'!C5+'TRT 2008'!C5)</f>
        <v>58611.679999999993</v>
      </c>
      <c r="D5" s="19">
        <f>SUM('R 2008'!D5+'TRT 2008'!D5)</f>
        <v>32753.24</v>
      </c>
      <c r="E5" s="19">
        <f>SUM('R 2008'!E5+'TRT 2008'!E5)</f>
        <v>27180.080000000002</v>
      </c>
      <c r="F5" s="19">
        <f>SUM('R 2008'!F5+'TRT 2008'!F5)</f>
        <v>66559.53</v>
      </c>
      <c r="G5" s="19">
        <f>SUM('R 2008'!G5+'TRT 2008'!G5)</f>
        <v>35532.509999999995</v>
      </c>
      <c r="H5" s="19">
        <f>SUM('R 2008'!H5+'TRT 2008'!H5)</f>
        <v>52218.210000000006</v>
      </c>
      <c r="I5" s="19">
        <f>SUM('R 2008'!I5+'TRT 2008'!I5)</f>
        <v>89634.15</v>
      </c>
      <c r="J5" s="19">
        <f>SUM('R 2008'!J5+'TRT 2008'!J5)</f>
        <v>46894.36</v>
      </c>
      <c r="K5" s="19">
        <f>SUM('R 2008'!K5+'TRT 2008'!K5)</f>
        <v>40294.58</v>
      </c>
      <c r="L5" s="19">
        <f>SUM('R 2008'!L5+'TRT 2008'!L5)</f>
        <v>94325.32</v>
      </c>
      <c r="M5" s="19">
        <f>SUM('R 2008'!M5+'TRT 2008'!M5)</f>
        <v>29378.16</v>
      </c>
      <c r="N5" s="81">
        <f t="shared" si="0"/>
        <v>606008.29</v>
      </c>
      <c r="O5" s="19">
        <f>SUM('TOTAL 2007'!B5:M5)</f>
        <v>522877.12</v>
      </c>
      <c r="P5" s="84">
        <f t="shared" si="1"/>
        <v>0.15898796642698776</v>
      </c>
      <c r="Q5" s="22">
        <f t="shared" ref="Q5:Q33" si="2">N5/$N$33</f>
        <v>7.4657628651904114E-3</v>
      </c>
    </row>
    <row r="6" spans="1:17">
      <c r="A6" s="92" t="s">
        <v>19</v>
      </c>
      <c r="B6" s="19">
        <f>SUM('R 2008'!B6+'TRT 2008'!B6)</f>
        <v>97110.069999999992</v>
      </c>
      <c r="C6" s="19">
        <f>SUM('R 2008'!C6+'TRT 2008'!C6)</f>
        <v>120370.85</v>
      </c>
      <c r="D6" s="19">
        <f>SUM('R 2008'!D6+'TRT 2008'!D6)</f>
        <v>83777.34</v>
      </c>
      <c r="E6" s="19">
        <f>SUM('R 2008'!E6+'TRT 2008'!E6)</f>
        <v>77612.72</v>
      </c>
      <c r="F6" s="19">
        <f>SUM('R 2008'!F6+'TRT 2008'!F6)</f>
        <v>108595.81</v>
      </c>
      <c r="G6" s="19">
        <f>SUM('R 2008'!G6+'TRT 2008'!G6)</f>
        <v>88507.62</v>
      </c>
      <c r="H6" s="19">
        <f>SUM('R 2008'!H6+'TRT 2008'!H6)</f>
        <v>118373.19</v>
      </c>
      <c r="I6" s="19">
        <f>SUM('R 2008'!I6+'TRT 2008'!I6)</f>
        <v>138290.23000000001</v>
      </c>
      <c r="J6" s="19">
        <f>SUM('R 2008'!J6+'TRT 2008'!J6)</f>
        <v>107435.31999999999</v>
      </c>
      <c r="K6" s="19">
        <f>SUM('R 2008'!K6+'TRT 2008'!K6)</f>
        <v>124862.02</v>
      </c>
      <c r="L6" s="19">
        <f>SUM('R 2008'!L6+'TRT 2008'!L6)</f>
        <v>142732.18</v>
      </c>
      <c r="M6" s="19">
        <f>SUM('R 2008'!M6+'TRT 2008'!M6)</f>
        <v>87899.450000000012</v>
      </c>
      <c r="N6" s="81">
        <f t="shared" si="0"/>
        <v>1295566.7999999996</v>
      </c>
      <c r="O6" s="19">
        <f>SUM('TOTAL 2007'!B6:M6)</f>
        <v>1231732.49</v>
      </c>
      <c r="P6" s="84">
        <f t="shared" si="1"/>
        <v>5.1824816279709918E-2</v>
      </c>
      <c r="Q6" s="22">
        <f t="shared" si="2"/>
        <v>1.5960828695616637E-2</v>
      </c>
    </row>
    <row r="7" spans="1:17">
      <c r="A7" s="92" t="s">
        <v>20</v>
      </c>
      <c r="B7" s="19">
        <f>SUM('R 2008'!B7+'TRT 2008'!B7)</f>
        <v>28756.03</v>
      </c>
      <c r="C7" s="19">
        <f>SUM('R 2008'!C7+'TRT 2008'!C7)</f>
        <v>39699.94</v>
      </c>
      <c r="D7" s="19">
        <f>SUM('R 2008'!D7+'TRT 2008'!D7)</f>
        <v>25414.58</v>
      </c>
      <c r="E7" s="19">
        <f>SUM('R 2008'!E7+'TRT 2008'!E7)</f>
        <v>23200.29</v>
      </c>
      <c r="F7" s="19">
        <f>SUM('R 2008'!F7+'TRT 2008'!F7)</f>
        <v>42084.18</v>
      </c>
      <c r="G7" s="19">
        <f>SUM('R 2008'!G7+'TRT 2008'!G7)</f>
        <v>34303.839999999997</v>
      </c>
      <c r="H7" s="19">
        <f>SUM('R 2008'!H7+'TRT 2008'!H7)</f>
        <v>35729.81</v>
      </c>
      <c r="I7" s="19">
        <f>SUM('R 2008'!I7+'TRT 2008'!I7)</f>
        <v>67891.48</v>
      </c>
      <c r="J7" s="19">
        <f>SUM('R 2008'!J7+'TRT 2008'!J7)</f>
        <v>29214.11</v>
      </c>
      <c r="K7" s="19">
        <f>SUM('R 2008'!K7+'TRT 2008'!K7)</f>
        <v>41686.759999999995</v>
      </c>
      <c r="L7" s="19">
        <f>SUM('R 2008'!L7+'TRT 2008'!L7)</f>
        <v>45002.369999999995</v>
      </c>
      <c r="M7" s="19">
        <f>SUM('R 2008'!M7+'TRT 2008'!M7)</f>
        <v>50623.509999999995</v>
      </c>
      <c r="N7" s="81">
        <f t="shared" si="0"/>
        <v>463606.89999999997</v>
      </c>
      <c r="O7" s="19">
        <f>SUM('TOTAL 2007'!B7:M7)</f>
        <v>452359.37000000005</v>
      </c>
      <c r="P7" s="84">
        <f t="shared" si="1"/>
        <v>2.4864147281838944E-2</v>
      </c>
      <c r="Q7" s="22">
        <f t="shared" si="2"/>
        <v>5.7114386637615866E-3</v>
      </c>
    </row>
    <row r="8" spans="1:17">
      <c r="A8" s="92" t="s">
        <v>21</v>
      </c>
      <c r="B8" s="19">
        <f>SUM('R 2008'!B8+'TRT 2008'!B8)</f>
        <v>2368.58</v>
      </c>
      <c r="C8" s="19">
        <f>SUM('R 2008'!C8+'TRT 2008'!C8)</f>
        <v>3187.3599999999997</v>
      </c>
      <c r="D8" s="19">
        <f>SUM('R 2008'!D8+'TRT 2008'!D8)</f>
        <v>1972.3100000000002</v>
      </c>
      <c r="E8" s="19">
        <f>SUM('R 2008'!E8+'TRT 2008'!E8)</f>
        <v>908.98</v>
      </c>
      <c r="F8" s="19">
        <f>SUM('R 2008'!F8+'TRT 2008'!F8)</f>
        <v>2934.94</v>
      </c>
      <c r="G8" s="19">
        <f>SUM('R 2008'!G8+'TRT 2008'!G8)</f>
        <v>5825.4</v>
      </c>
      <c r="H8" s="19">
        <f>SUM('R 2008'!H8+'TRT 2008'!H8)</f>
        <v>8806.7999999999993</v>
      </c>
      <c r="I8" s="19">
        <f>SUM('R 2008'!I8+'TRT 2008'!I8)</f>
        <v>17920.63</v>
      </c>
      <c r="J8" s="19">
        <f>SUM('R 2008'!J8+'TRT 2008'!J8)</f>
        <v>13616.75</v>
      </c>
      <c r="K8" s="19">
        <f>SUM('R 2008'!K8+'TRT 2008'!K8)</f>
        <v>9537.66</v>
      </c>
      <c r="L8" s="19">
        <f>SUM('R 2008'!L8+'TRT 2008'!L8)</f>
        <v>15004.58</v>
      </c>
      <c r="M8" s="19">
        <f>SUM('R 2008'!M8+'TRT 2008'!M8)</f>
        <v>5068.5999999999995</v>
      </c>
      <c r="N8" s="81">
        <f t="shared" si="0"/>
        <v>87152.590000000011</v>
      </c>
      <c r="O8" s="19">
        <f>SUM('TOTAL 2007'!B8:M8)</f>
        <v>83540.259999999995</v>
      </c>
      <c r="P8" s="84">
        <f t="shared" si="1"/>
        <v>4.3240588430057736E-2</v>
      </c>
      <c r="Q8" s="22">
        <f t="shared" si="2"/>
        <v>1.0736826224393156E-3</v>
      </c>
    </row>
    <row r="9" spans="1:17">
      <c r="A9" s="92" t="s">
        <v>22</v>
      </c>
      <c r="B9" s="19">
        <f>SUM('R 2008'!B9+'CR 2008'!C4+'TRT 2008'!B9)</f>
        <v>259440.93</v>
      </c>
      <c r="C9" s="19">
        <f>SUM('R 2008'!C9+'CR 2008'!D4+'TRT 2008'!C9)</f>
        <v>353675.01</v>
      </c>
      <c r="D9" s="19">
        <f>SUM('R 2008'!D9+'CR 2008'!E4+'TRT 2008'!D9)</f>
        <v>322894.88</v>
      </c>
      <c r="E9" s="19">
        <f>SUM('R 2008'!E9+'CR 2008'!F4+'TRT 2008'!E9)</f>
        <v>295512.49</v>
      </c>
      <c r="F9" s="19">
        <f>SUM('R 2008'!F9+'CR 2008'!G4+'TRT 2008'!F9)</f>
        <v>421201.16000000003</v>
      </c>
      <c r="G9" s="19">
        <f>SUM('R 2008'!G9+'CR 2008'!H4+'TRT 2008'!G9)</f>
        <v>337531.02</v>
      </c>
      <c r="H9" s="19">
        <f>SUM('R 2008'!H9+'CR 2008'!I4+'TRT 2008'!H9)</f>
        <v>422002.94</v>
      </c>
      <c r="I9" s="19">
        <f>SUM('R 2008'!I9+'CR 2008'!J4+'TRT 2008'!I9)</f>
        <v>487038.80000000005</v>
      </c>
      <c r="J9" s="19">
        <f>SUM('R 2008'!J9+'CR 2008'!K4+'TRT 2008'!J9)</f>
        <v>392079.66</v>
      </c>
      <c r="K9" s="19">
        <f>SUM('R 2008'!K9+'CR 2008'!L4+'TRT 2008'!K9)</f>
        <v>367255.8</v>
      </c>
      <c r="L9" s="19">
        <f>SUM('R 2008'!L9+'CR 2008'!M4+'TRT 2008'!L9)</f>
        <v>360888.02</v>
      </c>
      <c r="M9" s="19">
        <f>SUM('R 2008'!M9+'CR 2008'!N4+'TRT 2008'!M9)</f>
        <v>328411.3</v>
      </c>
      <c r="N9" s="81">
        <f t="shared" si="0"/>
        <v>4347932.0100000007</v>
      </c>
      <c r="O9" s="19">
        <f>SUM('TOTAL 2007'!B9:M9)</f>
        <v>4070277.6</v>
      </c>
      <c r="P9" s="84">
        <f t="shared" si="1"/>
        <v>6.8215104050888486E-2</v>
      </c>
      <c r="Q9" s="22">
        <f t="shared" si="2"/>
        <v>5.3564662194028251E-2</v>
      </c>
    </row>
    <row r="10" spans="1:17">
      <c r="A10" s="92" t="s">
        <v>23</v>
      </c>
      <c r="B10" s="19">
        <f>SUM('R 2008'!B10+'CR 2008'!C5+'TRT 2008'!B10)</f>
        <v>11456.61</v>
      </c>
      <c r="C10" s="19">
        <f>SUM('R 2008'!C10+'CR 2008'!D5+'TRT 2008'!C10)</f>
        <v>15611.86</v>
      </c>
      <c r="D10" s="19">
        <f>SUM('R 2008'!D10+'CR 2008'!E5+'TRT 2008'!D10)</f>
        <v>11369.59</v>
      </c>
      <c r="E10" s="19">
        <f>SUM('R 2008'!E10+'CR 2008'!F5+'TRT 2008'!E10)</f>
        <v>11756.54</v>
      </c>
      <c r="F10" s="19">
        <f>SUM('R 2008'!F10+'CR 2008'!G5+'TRT 2008'!F10)</f>
        <v>23157.87</v>
      </c>
      <c r="G10" s="19">
        <f>SUM('R 2008'!G10+'CR 2008'!H5+'TRT 2008'!G10)</f>
        <v>16376.26</v>
      </c>
      <c r="H10" s="19">
        <f>SUM('R 2008'!H10+'CR 2008'!I5+'TRT 2008'!H10)</f>
        <v>23977.47</v>
      </c>
      <c r="I10" s="19">
        <f>SUM('R 2008'!I10+'CR 2008'!J5+'TRT 2008'!I10)</f>
        <v>36388.959999999999</v>
      </c>
      <c r="J10" s="19">
        <f>SUM('R 2008'!J10+'CR 2008'!K5+'TRT 2008'!J10)</f>
        <v>13804.51</v>
      </c>
      <c r="K10" s="19">
        <f>SUM('R 2008'!K10+'CR 2008'!L5+'TRT 2008'!K10)</f>
        <v>8057.14</v>
      </c>
      <c r="L10" s="19">
        <f>SUM('R 2008'!L10+'CR 2008'!M5+'TRT 2008'!L10)</f>
        <v>21759.8</v>
      </c>
      <c r="M10" s="19">
        <f>SUM('R 2008'!M10+'CR 2008'!N5+'TRT 2008'!M10)</f>
        <v>14824.03</v>
      </c>
      <c r="N10" s="81">
        <f t="shared" si="0"/>
        <v>208540.64</v>
      </c>
      <c r="O10" s="19">
        <f>SUM('TOTAL 2007'!B10:M10)</f>
        <v>190159.89</v>
      </c>
      <c r="P10" s="84">
        <f t="shared" si="1"/>
        <v>9.6659448004518644E-2</v>
      </c>
      <c r="Q10" s="22">
        <f t="shared" si="2"/>
        <v>2.5691314651735907E-3</v>
      </c>
    </row>
    <row r="11" spans="1:17">
      <c r="A11" s="92" t="s">
        <v>51</v>
      </c>
      <c r="B11" s="19">
        <f>'TRT 2008'!B11</f>
        <v>17360</v>
      </c>
      <c r="C11" s="19">
        <f>'TRT 2008'!C11</f>
        <v>11029</v>
      </c>
      <c r="D11" s="19">
        <f>'TRT 2008'!D11</f>
        <v>6958</v>
      </c>
      <c r="E11" s="19">
        <f>'TRT 2008'!E11</f>
        <v>24381</v>
      </c>
      <c r="F11" s="19">
        <f>'TRT 2008'!F11</f>
        <v>16030</v>
      </c>
      <c r="G11" s="19">
        <f>'TRT 2008'!G11</f>
        <v>21580</v>
      </c>
      <c r="H11" s="19">
        <f>'TRT 2008'!H11</f>
        <v>55930</v>
      </c>
      <c r="I11" s="19">
        <f>'TRT 2008'!I11</f>
        <v>23011</v>
      </c>
      <c r="J11" s="19">
        <f>'TRT 2008'!J11</f>
        <v>17505</v>
      </c>
      <c r="K11" s="19">
        <f>'TRT 2008'!K11</f>
        <v>54260</v>
      </c>
      <c r="L11" s="19">
        <f>'TRT 2008'!L11</f>
        <v>26007</v>
      </c>
      <c r="M11" s="19">
        <f>'TRT 2008'!M11</f>
        <v>7816</v>
      </c>
      <c r="N11" s="81">
        <f t="shared" si="0"/>
        <v>281867</v>
      </c>
      <c r="O11" s="19">
        <f>SUM('TOTAL 2007'!B11:M11)</f>
        <v>246722.26</v>
      </c>
      <c r="P11" s="84">
        <f t="shared" si="1"/>
        <v>0.14244657129843086</v>
      </c>
      <c r="Q11" s="22">
        <f t="shared" si="2"/>
        <v>3.4724808492679624E-3</v>
      </c>
    </row>
    <row r="12" spans="1:17">
      <c r="A12" s="92" t="s">
        <v>24</v>
      </c>
      <c r="B12" s="19">
        <f>SUM('R 2008'!B11+'TRT 2008'!B12)</f>
        <v>36270.639999999999</v>
      </c>
      <c r="C12" s="19">
        <f>SUM('R 2008'!C11+'TRT 2008'!C12)</f>
        <v>22474.87</v>
      </c>
      <c r="D12" s="19">
        <f>SUM('R 2008'!D11+'TRT 2008'!D12)</f>
        <v>6643.9400000000005</v>
      </c>
      <c r="E12" s="19">
        <f>SUM('R 2008'!E11+'TRT 2008'!E12)</f>
        <v>20498.32</v>
      </c>
      <c r="F12" s="19">
        <f>SUM('R 2008'!F11+'TRT 2008'!F12)</f>
        <v>72025.69</v>
      </c>
      <c r="G12" s="19">
        <f>SUM('R 2008'!G11+'TRT 2008'!G12)</f>
        <v>76974.17</v>
      </c>
      <c r="H12" s="19">
        <f>SUM('R 2008'!H11+'TRT 2008'!H12)</f>
        <v>169939.95</v>
      </c>
      <c r="I12" s="19">
        <f>SUM('R 2008'!I11+'TRT 2008'!I12)</f>
        <v>171410.76</v>
      </c>
      <c r="J12" s="19">
        <f>SUM('R 2008'!J11+'TRT 2008'!J12)</f>
        <v>140400.79999999999</v>
      </c>
      <c r="K12" s="19">
        <f>SUM('R 2008'!K11+'TRT 2008'!K12)</f>
        <v>226135.84</v>
      </c>
      <c r="L12" s="19">
        <f>SUM('R 2008'!L11+'TRT 2008'!L12)</f>
        <v>193947.88</v>
      </c>
      <c r="M12" s="19">
        <f>SUM('R 2008'!M11+'TRT 2008'!M12)</f>
        <v>93668.09</v>
      </c>
      <c r="N12" s="81">
        <f t="shared" si="0"/>
        <v>1230390.9500000002</v>
      </c>
      <c r="O12" s="19">
        <f>SUM('TOTAL 2007'!B12:M12)</f>
        <v>1146354.1399999999</v>
      </c>
      <c r="P12" s="84">
        <f t="shared" si="1"/>
        <v>7.3307895935195377E-2</v>
      </c>
      <c r="Q12" s="22">
        <f t="shared" si="2"/>
        <v>1.5157890107701915E-2</v>
      </c>
    </row>
    <row r="13" spans="1:17">
      <c r="A13" s="92" t="s">
        <v>59</v>
      </c>
      <c r="B13" s="19">
        <f>SUM('R 2008'!B12+'CR 2008'!C6+'TRT 2008'!B13)</f>
        <v>36286.18</v>
      </c>
      <c r="C13" s="19">
        <f>SUM('R 2008'!C12+'CR 2008'!D6+'TRT 2008'!C13)</f>
        <v>53953.729999999996</v>
      </c>
      <c r="D13" s="19">
        <f>SUM('R 2008'!D12+'CR 2008'!E6+'TRT 2008'!D13)</f>
        <v>156149.39000000001</v>
      </c>
      <c r="E13" s="19">
        <f>SUM('R 2008'!E12+'CR 2008'!F6+'TRT 2008'!E13)</f>
        <v>170576.56</v>
      </c>
      <c r="F13" s="19">
        <f>SUM('R 2008'!F12+'CR 2008'!G6+'TRT 2008'!F13)</f>
        <v>249402.63</v>
      </c>
      <c r="G13" s="19">
        <f>SUM('R 2008'!G12+'CR 2008'!H6+'TRT 2008'!G13)</f>
        <v>195068.93</v>
      </c>
      <c r="H13" s="19">
        <f>SUM('R 2008'!H12+'CR 2008'!I6+'TRT 2008'!H13)</f>
        <v>198533.14</v>
      </c>
      <c r="I13" s="19">
        <f>SUM('R 2008'!I12+'CR 2008'!J6+'TRT 2008'!I13)</f>
        <v>237948.79</v>
      </c>
      <c r="J13" s="19">
        <f>SUM('R 2008'!J12+'CR 2008'!K6+'TRT 2008'!J13)</f>
        <v>224767.96</v>
      </c>
      <c r="K13" s="19">
        <f>SUM('R 2008'!K12+'CR 2008'!L6+'TRT 2008'!K13)</f>
        <v>178149.88</v>
      </c>
      <c r="L13" s="19">
        <f>SUM('R 2008'!L12+'CR 2008'!M6+'TRT 2008'!L13)</f>
        <v>111113.53</v>
      </c>
      <c r="M13" s="19">
        <f>SUM('R 2008'!M12+'CR 2008'!N6+'TRT 2008'!M13)</f>
        <v>49468.520000000004</v>
      </c>
      <c r="N13" s="81">
        <f t="shared" si="0"/>
        <v>1861419.24</v>
      </c>
      <c r="O13" s="19">
        <f>SUM('TOTAL 2007'!B13:M13)</f>
        <v>1598361.8699999999</v>
      </c>
      <c r="P13" s="84">
        <f t="shared" si="1"/>
        <v>0.16457935773955867</v>
      </c>
      <c r="Q13" s="22">
        <f t="shared" si="2"/>
        <v>2.2931888668623588E-2</v>
      </c>
    </row>
    <row r="14" spans="1:17">
      <c r="A14" s="92" t="s">
        <v>26</v>
      </c>
      <c r="B14" s="19">
        <f>SUM('R 2008'!B13+'TRT 2008'!B14)</f>
        <v>69854.06</v>
      </c>
      <c r="C14" s="19">
        <f>SUM('R 2008'!C13+'TRT 2008'!C14)</f>
        <v>137627.03</v>
      </c>
      <c r="D14" s="19">
        <f>SUM('R 2008'!D13+'TRT 2008'!D14)</f>
        <v>77761.383000000002</v>
      </c>
      <c r="E14" s="19">
        <f>SUM('R 2008'!E13+'TRT 2008'!E14)</f>
        <v>59934.45</v>
      </c>
      <c r="F14" s="19">
        <f>SUM('R 2008'!F13+'TRT 2008'!F14)</f>
        <v>152399.26</v>
      </c>
      <c r="G14" s="19">
        <f>SUM('R 2008'!G13+'TRT 2008'!G14)</f>
        <v>77443</v>
      </c>
      <c r="H14" s="19">
        <f>SUM('R 2008'!H13+'TRT 2008'!H14)</f>
        <v>99219.82</v>
      </c>
      <c r="I14" s="19">
        <f>SUM('R 2008'!I13+'TRT 2008'!I14)</f>
        <v>160141.85999999999</v>
      </c>
      <c r="J14" s="19">
        <f>SUM('R 2008'!J13+'TRT 2008'!J14)</f>
        <v>123363.82</v>
      </c>
      <c r="K14" s="19">
        <f>SUM('R 2008'!K13+'TRT 2008'!K14)</f>
        <v>116852.16</v>
      </c>
      <c r="L14" s="19">
        <f>SUM('R 2008'!L13+'TRT 2008'!L14)</f>
        <v>163050.94</v>
      </c>
      <c r="M14" s="19">
        <f>SUM('R 2008'!M13+'TRT 2008'!M14)</f>
        <v>74136.77</v>
      </c>
      <c r="N14" s="81">
        <f t="shared" si="0"/>
        <v>1311784.5529999998</v>
      </c>
      <c r="O14" s="19">
        <f>SUM('TOTAL 2007'!B14:M14)</f>
        <v>1376027.22</v>
      </c>
      <c r="P14" s="84">
        <f t="shared" si="1"/>
        <v>-4.6687061176013733E-2</v>
      </c>
      <c r="Q14" s="22">
        <f t="shared" si="2"/>
        <v>1.6160624474159918E-2</v>
      </c>
    </row>
    <row r="15" spans="1:17">
      <c r="A15" s="92" t="s">
        <v>27</v>
      </c>
      <c r="B15" s="19">
        <f>SUM('R 2008'!B14+'TRT 2008'!B15)</f>
        <v>12948.52</v>
      </c>
      <c r="C15" s="19">
        <f>SUM('R 2008'!C14+'TRT 2008'!C15)</f>
        <v>16455.64</v>
      </c>
      <c r="D15" s="19">
        <f>SUM('R 2008'!D14+'TRT 2008'!D15)</f>
        <v>5449.49</v>
      </c>
      <c r="E15" s="19">
        <f>SUM('R 2008'!E14+'TRT 2008'!E15)</f>
        <v>4452.6600000000008</v>
      </c>
      <c r="F15" s="19">
        <f>SUM('R 2008'!F14+'TRT 2008'!F15)</f>
        <v>20089.439999999999</v>
      </c>
      <c r="G15" s="19">
        <f>SUM('R 2008'!G14+'TRT 2008'!G15)</f>
        <v>5870.89</v>
      </c>
      <c r="H15" s="19">
        <f>SUM('R 2008'!H14+'TRT 2008'!H15)</f>
        <v>15456.28</v>
      </c>
      <c r="I15" s="19">
        <f>SUM('R 2008'!I14+'TRT 2008'!I15)</f>
        <v>28296.74</v>
      </c>
      <c r="J15" s="19">
        <f>SUM('R 2008'!J14+'TRT 2008'!J15)</f>
        <v>10372.4</v>
      </c>
      <c r="K15" s="19">
        <f>SUM('R 2008'!K14+'TRT 2008'!K15)</f>
        <v>8071.5599999999995</v>
      </c>
      <c r="L15" s="19">
        <f>SUM('R 2008'!L14+'TRT 2008'!L15)</f>
        <v>27236.09</v>
      </c>
      <c r="M15" s="19">
        <f>SUM('R 2008'!M14+'TRT 2008'!M15)</f>
        <v>7876.6299999999992</v>
      </c>
      <c r="N15" s="81">
        <f t="shared" si="0"/>
        <v>162576.34</v>
      </c>
      <c r="O15" s="19">
        <f>SUM('TOTAL 2007'!B15:M15)</f>
        <v>154405.46000000002</v>
      </c>
      <c r="P15" s="84">
        <f t="shared" si="1"/>
        <v>5.2918335918949788E-2</v>
      </c>
      <c r="Q15" s="22">
        <f t="shared" si="2"/>
        <v>2.0028709540104977E-3</v>
      </c>
    </row>
    <row r="16" spans="1:17">
      <c r="A16" s="92" t="s">
        <v>28</v>
      </c>
      <c r="B16" s="19">
        <f>SUM('R 2008'!B15+'TRT 2008'!B16)</f>
        <v>33443.83</v>
      </c>
      <c r="C16" s="19">
        <f>SUM('R 2008'!C15+'TRT 2008'!C16)</f>
        <v>38777.5</v>
      </c>
      <c r="D16" s="19">
        <f>SUM('R 2008'!D15+'TRT 2008'!D16)</f>
        <v>8425.619999999999</v>
      </c>
      <c r="E16" s="19">
        <f>SUM('R 2008'!E15+'TRT 2008'!E16)</f>
        <v>19573.55</v>
      </c>
      <c r="F16" s="19">
        <f>SUM('R 2008'!F15+'TRT 2008'!F16)</f>
        <v>46996.639999999999</v>
      </c>
      <c r="G16" s="19">
        <f>SUM('R 2008'!G15+'TRT 2008'!G16)</f>
        <v>32822.160000000003</v>
      </c>
      <c r="H16" s="19">
        <f>SUM('R 2008'!H15+'TRT 2008'!H16)</f>
        <v>79390.97</v>
      </c>
      <c r="I16" s="19">
        <f>SUM('R 2008'!I15+'TRT 2008'!I16)</f>
        <v>139567.47</v>
      </c>
      <c r="J16" s="19">
        <f>SUM('R 2008'!J15+'TRT 2008'!J16)</f>
        <v>98474.26</v>
      </c>
      <c r="K16" s="19">
        <f>SUM('R 2008'!K15+'TRT 2008'!K16)</f>
        <v>109411.17</v>
      </c>
      <c r="L16" s="19">
        <f>SUM('R 2008'!L15+'TRT 2008'!L16)</f>
        <v>153482.79999999999</v>
      </c>
      <c r="M16" s="19">
        <f>SUM('R 2008'!M15+'TRT 2008'!M16)</f>
        <v>53409.33</v>
      </c>
      <c r="N16" s="81">
        <f t="shared" si="0"/>
        <v>813775.29999999993</v>
      </c>
      <c r="O16" s="19">
        <f>SUM('TOTAL 2007'!B16:M16)</f>
        <v>708321.89</v>
      </c>
      <c r="P16" s="84">
        <f t="shared" si="1"/>
        <v>0.14887780751770907</v>
      </c>
      <c r="Q16" s="22">
        <f t="shared" si="2"/>
        <v>1.0025363539744953E-2</v>
      </c>
    </row>
    <row r="17" spans="1:17">
      <c r="A17" s="92" t="s">
        <v>52</v>
      </c>
      <c r="B17" s="19">
        <f>'TRT 2008'!B17</f>
        <v>8117.62</v>
      </c>
      <c r="C17" s="19">
        <f>'TRT 2008'!C17</f>
        <v>8083.3</v>
      </c>
      <c r="D17" s="19">
        <f>'TRT 2008'!D17</f>
        <v>4190.95</v>
      </c>
      <c r="E17" s="19">
        <f>'TRT 2008'!E17</f>
        <v>237.22</v>
      </c>
      <c r="F17" s="19">
        <f>'TRT 2008'!F17</f>
        <v>17065.53</v>
      </c>
      <c r="G17" s="19">
        <f>'TRT 2008'!G17</f>
        <v>2782.97</v>
      </c>
      <c r="H17" s="19">
        <f>'TRT 2008'!H17</f>
        <v>3634.77</v>
      </c>
      <c r="I17" s="19">
        <f>'TRT 2008'!I17</f>
        <v>22526.76</v>
      </c>
      <c r="J17" s="19">
        <f>'TRT 2008'!J17</f>
        <v>3535.14</v>
      </c>
      <c r="K17" s="19">
        <f>'TRT 2008'!K17</f>
        <v>4805.2700000000004</v>
      </c>
      <c r="L17" s="19">
        <f>'TRT 2008'!L17</f>
        <v>19277.62</v>
      </c>
      <c r="M17" s="19">
        <f>'TRT 2008'!M17</f>
        <v>2394.2199999999998</v>
      </c>
      <c r="N17" s="81">
        <f t="shared" si="0"/>
        <v>96651.37</v>
      </c>
      <c r="O17" s="19">
        <f>SUM('TOTAL 2007'!B17:M17)</f>
        <v>91852.28</v>
      </c>
      <c r="P17" s="84">
        <f t="shared" si="1"/>
        <v>5.2247913715369965E-2</v>
      </c>
      <c r="Q17" s="22">
        <f t="shared" si="2"/>
        <v>1.1907035281906433E-3</v>
      </c>
    </row>
    <row r="18" spans="1:17">
      <c r="A18" s="92" t="s">
        <v>29</v>
      </c>
      <c r="B18" s="19">
        <f>SUM('R 2008'!B16+'CR 2008'!C7+'TRT 2008'!B18)</f>
        <v>1507.77</v>
      </c>
      <c r="C18" s="19">
        <f>SUM('R 2008'!C16+'CR 2008'!D7+'TRT 2008'!C18)</f>
        <v>5415.69</v>
      </c>
      <c r="D18" s="19">
        <f>SUM('R 2008'!D16+'CR 2008'!E7+'TRT 2008'!D18)</f>
        <v>5232.72</v>
      </c>
      <c r="E18" s="19">
        <f>SUM('R 2008'!E16+'CR 2008'!F7+'TRT 2008'!E18)</f>
        <v>4111.6400000000003</v>
      </c>
      <c r="F18" s="19">
        <f>SUM('R 2008'!F16+'CR 2008'!G7+'TRT 2008'!F18)</f>
        <v>3902.51</v>
      </c>
      <c r="G18" s="19">
        <f>SUM('R 2008'!G16+'CR 2008'!H7+'TRT 2008'!G18)</f>
        <v>603.92999999999995</v>
      </c>
      <c r="H18" s="19">
        <f>SUM('R 2008'!H16+'CR 2008'!I7+'TRT 2008'!H18)</f>
        <v>3846.33</v>
      </c>
      <c r="I18" s="19">
        <f>SUM('R 2008'!I16+'CR 2008'!J7+'TRT 2008'!I18)</f>
        <v>8657.9</v>
      </c>
      <c r="J18" s="19">
        <f>SUM('R 2008'!J16+'CR 2008'!K7+'TRT 2008'!J18)</f>
        <v>3653.4799999999996</v>
      </c>
      <c r="K18" s="19">
        <f>SUM('R 2008'!K16+'CR 2008'!L7+'TRT 2008'!K18)</f>
        <v>3053.21</v>
      </c>
      <c r="L18" s="19">
        <f>SUM('R 2008'!L16+'CR 2008'!M7+'TRT 2008'!L18)</f>
        <v>8333.82</v>
      </c>
      <c r="M18" s="19">
        <f>SUM('R 2008'!M16+'CR 2008'!N7+'TRT 2008'!M18)</f>
        <v>2392.2399999999998</v>
      </c>
      <c r="N18" s="81">
        <f t="shared" si="0"/>
        <v>50711.24</v>
      </c>
      <c r="O18" s="19">
        <f>SUM('TOTAL 2007'!B18:M18)</f>
        <v>46073.83</v>
      </c>
      <c r="P18" s="84">
        <f t="shared" si="1"/>
        <v>0.10065171486720326</v>
      </c>
      <c r="Q18" s="22">
        <f t="shared" si="2"/>
        <v>6.2474078108693627E-4</v>
      </c>
    </row>
    <row r="19" spans="1:17">
      <c r="A19" s="92" t="s">
        <v>53</v>
      </c>
      <c r="B19" s="19">
        <f>'TRT 2008'!B19</f>
        <v>0</v>
      </c>
      <c r="C19" s="19">
        <f>'TRT 2008'!C19</f>
        <v>600.08000000000004</v>
      </c>
      <c r="D19" s="19">
        <f>'TRT 2008'!D19</f>
        <v>0</v>
      </c>
      <c r="E19" s="19">
        <f>'TRT 2008'!E19</f>
        <v>128.01</v>
      </c>
      <c r="F19" s="19">
        <f>'TRT 2008'!F19</f>
        <v>419.02</v>
      </c>
      <c r="G19" s="19">
        <f>'TRT 2008'!G19</f>
        <v>264.33999999999997</v>
      </c>
      <c r="H19" s="19">
        <f>'TRT 2008'!H19</f>
        <v>485.66</v>
      </c>
      <c r="I19" s="19">
        <f>'TRT 2008'!I19</f>
        <v>3821.31</v>
      </c>
      <c r="J19" s="19">
        <f>'TRT 2008'!J19</f>
        <v>991.85</v>
      </c>
      <c r="K19" s="19">
        <f>'TRT 2008'!K19</f>
        <v>3521.7</v>
      </c>
      <c r="L19" s="19">
        <f>'TRT 2008'!L19</f>
        <v>3653.78</v>
      </c>
      <c r="M19" s="19">
        <f>'TRT 2008'!M19</f>
        <v>198.43</v>
      </c>
      <c r="N19" s="81">
        <f t="shared" si="0"/>
        <v>14084.180000000002</v>
      </c>
      <c r="O19" s="19">
        <f>SUM('TOTAL 2007'!B19:M19)</f>
        <v>14237.509999999998</v>
      </c>
      <c r="P19" s="84">
        <f t="shared" si="1"/>
        <v>-1.0769439319094132E-2</v>
      </c>
      <c r="Q19" s="22">
        <f t="shared" si="2"/>
        <v>1.7351107198658537E-4</v>
      </c>
    </row>
    <row r="20" spans="1:17">
      <c r="A20" s="92" t="s">
        <v>30</v>
      </c>
      <c r="B20" s="19">
        <f>SUM('R 2008'!B17+'TRT 2008'!B20)</f>
        <v>2212.38</v>
      </c>
      <c r="C20" s="19">
        <f>SUM('R 2008'!C17+'TRT 2008'!C20)</f>
        <v>3288.8199999999997</v>
      </c>
      <c r="D20" s="19">
        <f>SUM('R 2008'!D17+'TRT 2008'!D20)</f>
        <v>1789</v>
      </c>
      <c r="E20" s="19">
        <f>SUM('R 2008'!E17+'TRT 2008'!E20)</f>
        <v>5097</v>
      </c>
      <c r="F20" s="19">
        <f>SUM('R 2008'!F17+'TRT 2008'!F20)</f>
        <v>9372.09</v>
      </c>
      <c r="G20" s="19">
        <f>SUM('R 2008'!G17+'TRT 2008'!G20)</f>
        <v>5097</v>
      </c>
      <c r="H20" s="19">
        <f>SUM('R 2008'!H17+'TRT 2008'!H20)</f>
        <v>19121.97</v>
      </c>
      <c r="I20" s="19">
        <f>SUM('R 2008'!I17+'TRT 2008'!I20)</f>
        <v>24727.82</v>
      </c>
      <c r="J20" s="19">
        <f>SUM('R 2008'!J17+'TRT 2008'!J20)</f>
        <v>21616.73</v>
      </c>
      <c r="K20" s="19">
        <f>SUM('R 2008'!K17+'TRT 2008'!K20)</f>
        <v>2636.27</v>
      </c>
      <c r="L20" s="19">
        <f>SUM('R 2008'!L17+'TRT 2008'!L20)</f>
        <v>10389.799999999999</v>
      </c>
      <c r="M20" s="19">
        <f>SUM('R 2008'!M17+'TRT 2008'!M20)</f>
        <v>990</v>
      </c>
      <c r="N20" s="81">
        <f t="shared" si="0"/>
        <v>106338.88</v>
      </c>
      <c r="O20" s="19">
        <f>SUM('TOTAL 2007'!B20:M20)</f>
        <v>138045.35</v>
      </c>
      <c r="P20" s="84">
        <f t="shared" si="1"/>
        <v>-0.229681550302129</v>
      </c>
      <c r="Q20" s="22">
        <f t="shared" si="2"/>
        <v>1.3100495067979009E-3</v>
      </c>
    </row>
    <row r="21" spans="1:17">
      <c r="A21" s="92" t="s">
        <v>31</v>
      </c>
      <c r="B21" s="19">
        <f>SUM('R 2008'!B18+'CR 2008'!C8+'TRT 2008'!B39+'TRT 2008'!B21)</f>
        <v>2563821.7800000003</v>
      </c>
      <c r="C21" s="19">
        <f>SUM('R 2008'!C18+'CR 2008'!D8+'TRT 2008'!C39+'TRT 2008'!C21)</f>
        <v>3445861.87</v>
      </c>
      <c r="D21" s="19">
        <f>SUM('R 2008'!D18+'CR 2008'!E8+'TRT 2008'!D39+'TRT 2008'!D21)</f>
        <v>3633140.1900000004</v>
      </c>
      <c r="E21" s="19">
        <f>SUM('R 2008'!E18+'CR 2008'!F8+'TRT 2008'!E39+'TRT 2008'!E21)</f>
        <v>3575333</v>
      </c>
      <c r="F21" s="19">
        <f>SUM('R 2008'!F18+'CR 2008'!G8+'TRT 2008'!F39+'TRT 2008'!F21)</f>
        <v>4384029.0999999996</v>
      </c>
      <c r="G21" s="19">
        <f>SUM('R 2008'!G18+'CR 2008'!H8+'TRT 2008'!G39+'TRT 2008'!G21)</f>
        <v>3031885.2199999997</v>
      </c>
      <c r="H21" s="19">
        <f>SUM('R 2008'!H18+'CR 2008'!I8+'TRT 2008'!H39+'TRT 2008'!H21)</f>
        <v>3444930.6799999997</v>
      </c>
      <c r="I21" s="19">
        <f>SUM('R 2008'!I18+'CR 2008'!J8+'TRT 2008'!I39+'TRT 2008'!I21)</f>
        <v>3489446.69</v>
      </c>
      <c r="J21" s="19">
        <f>SUM('R 2008'!J18+'CR 2008'!K8+'TRT 2008'!J39+'TRT 2008'!J21)</f>
        <v>3350644.39</v>
      </c>
      <c r="K21" s="19">
        <f>SUM('R 2008'!K18+'CR 2008'!L8+'TRT 2008'!K39+'TRT 2008'!K21)</f>
        <v>3374424.6100000003</v>
      </c>
      <c r="L21" s="19">
        <f>SUM('R 2008'!L18+'CR 2008'!M8+'TRT 2008'!L39+'TRT 2008'!L21)</f>
        <v>3779649.3899999997</v>
      </c>
      <c r="M21" s="19">
        <f>SUM('R 2008'!M18+'CR 2008'!N8+'TRT 2008'!M39+'TRT 2008'!M21)</f>
        <v>2671265.09</v>
      </c>
      <c r="N21" s="81">
        <f t="shared" si="0"/>
        <v>40744432.010000005</v>
      </c>
      <c r="O21" s="19">
        <f>SUM('TOTAL 2007'!B21:M21)</f>
        <v>41947467.019999996</v>
      </c>
      <c r="P21" s="84">
        <f t="shared" si="1"/>
        <v>-2.8679562687930593E-2</v>
      </c>
      <c r="Q21" s="22">
        <f t="shared" si="2"/>
        <v>0.50195397073451509</v>
      </c>
    </row>
    <row r="22" spans="1:17">
      <c r="A22" s="92" t="s">
        <v>45</v>
      </c>
      <c r="B22" s="19">
        <f>'TRT 2008'!B22</f>
        <v>13321.1</v>
      </c>
      <c r="C22" s="19">
        <f>'TRT 2008'!C22</f>
        <v>45050.79</v>
      </c>
      <c r="D22" s="19">
        <f>'TRT 2008'!D22</f>
        <v>5035.41</v>
      </c>
      <c r="E22" s="19">
        <f>'TRT 2008'!E22</f>
        <v>7436.77</v>
      </c>
      <c r="F22" s="19">
        <f>'TRT 2008'!F22</f>
        <v>38177.81</v>
      </c>
      <c r="G22" s="19">
        <f>'TRT 2008'!G22</f>
        <v>34267.839999999997</v>
      </c>
      <c r="H22" s="19">
        <f>'TRT 2008'!H22</f>
        <v>49935.19</v>
      </c>
      <c r="I22" s="19">
        <f>'TRT 2008'!I22</f>
        <v>74650.17</v>
      </c>
      <c r="J22" s="19">
        <f>'TRT 2008'!J22</f>
        <v>59247.07</v>
      </c>
      <c r="K22" s="19">
        <f>'TRT 2008'!K22</f>
        <v>48318.85</v>
      </c>
      <c r="L22" s="19">
        <f>'TRT 2008'!L22</f>
        <v>105134.8</v>
      </c>
      <c r="M22" s="19">
        <f>'TRT 2008'!M22</f>
        <v>39705.64</v>
      </c>
      <c r="N22" s="81">
        <f t="shared" si="0"/>
        <v>520281.44</v>
      </c>
      <c r="O22" s="19">
        <f>SUM('TOTAL 2007'!B22:M22)</f>
        <v>413875.86</v>
      </c>
      <c r="P22" s="84">
        <f t="shared" si="1"/>
        <v>0.25709540053870272</v>
      </c>
      <c r="Q22" s="22">
        <f t="shared" si="2"/>
        <v>6.4096447495789093E-3</v>
      </c>
    </row>
    <row r="23" spans="1:17">
      <c r="A23" s="92" t="s">
        <v>32</v>
      </c>
      <c r="B23" s="19">
        <f>'R 2008'!B19+'TRT 2008'!B23</f>
        <v>1109.3499999999999</v>
      </c>
      <c r="C23" s="19">
        <f>'R 2008'!C19+'TRT 2008'!C23</f>
        <v>25461.9</v>
      </c>
      <c r="D23" s="19">
        <f>'R 2008'!D19+'TRT 2008'!D23</f>
        <v>5807.77</v>
      </c>
      <c r="E23" s="19">
        <f>'R 2008'!E19+'TRT 2008'!E23</f>
        <v>5766.1500000000005</v>
      </c>
      <c r="F23" s="19">
        <f>'R 2008'!F19+'TRT 2008'!F23</f>
        <v>23246.18</v>
      </c>
      <c r="G23" s="19">
        <f>'R 2008'!G19+'TRT 2008'!G23</f>
        <v>3157.5</v>
      </c>
      <c r="H23" s="19">
        <f>'R 2008'!H19+'TRT 2008'!H23</f>
        <v>7852.0300000000007</v>
      </c>
      <c r="I23" s="19">
        <f>'R 2008'!I19+'TRT 2008'!I23</f>
        <v>40227.85</v>
      </c>
      <c r="J23" s="19">
        <f>'R 2008'!J19+'TRT 2008'!J23</f>
        <v>8234.83</v>
      </c>
      <c r="K23" s="19">
        <f>'R 2008'!K19+'TRT 2008'!K23</f>
        <v>1457.6</v>
      </c>
      <c r="L23" s="19">
        <f>'R 2008'!L19+'TRT 2008'!L23</f>
        <v>37409.61</v>
      </c>
      <c r="M23" s="19">
        <f>'R 2008'!M19+'TRT 2008'!M23</f>
        <v>4952.01</v>
      </c>
      <c r="N23" s="81">
        <f t="shared" si="0"/>
        <v>164682.78000000003</v>
      </c>
      <c r="O23" s="19">
        <f>SUM('TOTAL 2007'!B23:M23)</f>
        <v>156188.31000000003</v>
      </c>
      <c r="P23" s="84">
        <f t="shared" si="1"/>
        <v>5.4386080494756683E-2</v>
      </c>
      <c r="Q23" s="22">
        <f t="shared" si="2"/>
        <v>2.0288213936154606E-3</v>
      </c>
    </row>
    <row r="24" spans="1:17">
      <c r="A24" s="92" t="s">
        <v>33</v>
      </c>
      <c r="B24" s="19">
        <f>SUM('R 2008'!B20+'CR 2008'!C9+'TRT 2008'!B24)</f>
        <v>25560.75</v>
      </c>
      <c r="C24" s="19">
        <f>SUM('R 2008'!C20+'CR 2008'!D9+'TRT 2008'!C24)</f>
        <v>47283.880000000005</v>
      </c>
      <c r="D24" s="19">
        <f>SUM('R 2008'!D20+'CR 2008'!E9+'TRT 2008'!D24)</f>
        <v>18329.009999999998</v>
      </c>
      <c r="E24" s="19">
        <f>SUM('R 2008'!E20+'CR 2008'!F9+'TRT 2008'!E24)</f>
        <v>15339.619999999999</v>
      </c>
      <c r="F24" s="19">
        <f>SUM('R 2008'!F20+'CR 2008'!G9+'TRT 2008'!F24)</f>
        <v>52506.14</v>
      </c>
      <c r="G24" s="19">
        <f>SUM('R 2008'!G20+'CR 2008'!H9+'TRT 2008'!G24)</f>
        <v>20008.09</v>
      </c>
      <c r="H24" s="19">
        <f>SUM('R 2008'!H20+'CR 2008'!I9+'TRT 2008'!H24)</f>
        <v>33550.39</v>
      </c>
      <c r="I24" s="19">
        <f>SUM('R 2008'!I20+'CR 2008'!J9+'TRT 2008'!I24)</f>
        <v>77682.75</v>
      </c>
      <c r="J24" s="19">
        <f>SUM('R 2008'!J20+'CR 2008'!K9+'TRT 2008'!J24)</f>
        <v>32284.52</v>
      </c>
      <c r="K24" s="19">
        <f>SUM('R 2008'!K20+'CR 2008'!L9+'TRT 2008'!K24)</f>
        <v>36965.4</v>
      </c>
      <c r="L24" s="19">
        <f>SUM('R 2008'!L20+'CR 2008'!M9+'TRT 2008'!L24)</f>
        <v>76843.11</v>
      </c>
      <c r="M24" s="19">
        <f>SUM('R 2008'!M20+'CR 2008'!N9+'TRT 2008'!M24)</f>
        <v>26791.989999999998</v>
      </c>
      <c r="N24" s="81">
        <f t="shared" si="0"/>
        <v>463145.65</v>
      </c>
      <c r="O24" s="19">
        <f>SUM('TOTAL 2007'!B24:M24)</f>
        <v>472210.99</v>
      </c>
      <c r="P24" s="84">
        <f t="shared" si="1"/>
        <v>-1.9197647221213532E-2</v>
      </c>
      <c r="Q24" s="22">
        <f t="shared" si="2"/>
        <v>5.7057562610974772E-3</v>
      </c>
    </row>
    <row r="25" spans="1:17">
      <c r="A25" s="92" t="s">
        <v>34</v>
      </c>
      <c r="B25" s="19">
        <f>SUM('R 2008'!B21+'TRT 2008'!B25)</f>
        <v>308615.37</v>
      </c>
      <c r="C25" s="19">
        <f>SUM('R 2008'!C21+'TRT 2008'!C25)</f>
        <v>977180.99</v>
      </c>
      <c r="D25" s="19">
        <f>SUM('R 2008'!D21+'TRT 2008'!D25)</f>
        <v>1301505.79</v>
      </c>
      <c r="E25" s="19">
        <f>SUM('R 2008'!E21+'TRT 2008'!E25)</f>
        <v>1227464.8</v>
      </c>
      <c r="F25" s="19">
        <f>SUM('R 2008'!F21+'TRT 2008'!F25)</f>
        <v>1466168.18</v>
      </c>
      <c r="G25" s="19">
        <f>SUM('R 2008'!G21+'TRT 2008'!G25)</f>
        <v>272561.46999999997</v>
      </c>
      <c r="H25" s="19">
        <f>SUM('R 2008'!H21+'TRT 2008'!H25)</f>
        <v>308619.63</v>
      </c>
      <c r="I25" s="19">
        <f>SUM('R 2008'!I21+'TRT 2008'!I25)</f>
        <v>252522.93</v>
      </c>
      <c r="J25" s="19">
        <f>SUM('R 2008'!J21+'TRT 2008'!J25)</f>
        <v>331731.51</v>
      </c>
      <c r="K25" s="19">
        <f>SUM('R 2008'!K21+'TRT 2008'!K25)</f>
        <v>289212.33</v>
      </c>
      <c r="L25" s="19">
        <f>SUM('R 2008'!L21+'TRT 2008'!L25)</f>
        <v>322578.07</v>
      </c>
      <c r="M25" s="19">
        <f>SUM('R 2008'!M21+'TRT 2008'!M25)</f>
        <v>175061.43</v>
      </c>
      <c r="N25" s="81">
        <f t="shared" si="0"/>
        <v>7233222.4999999991</v>
      </c>
      <c r="O25" s="19">
        <f>SUM('TOTAL 2007'!B25:M25)</f>
        <v>6662845.6700000009</v>
      </c>
      <c r="P25" s="84">
        <f t="shared" si="1"/>
        <v>8.560558930070461E-2</v>
      </c>
      <c r="Q25" s="22">
        <f t="shared" si="2"/>
        <v>8.9110206621364443E-2</v>
      </c>
    </row>
    <row r="26" spans="1:17">
      <c r="A26" s="92" t="s">
        <v>35</v>
      </c>
      <c r="B26" s="19">
        <f>SUM('R 2008'!B22+'TRT 2008'!B26)</f>
        <v>37286.49</v>
      </c>
      <c r="C26" s="19">
        <f>SUM('R 2008'!C22+'TRT 2008'!C26)</f>
        <v>52653.66</v>
      </c>
      <c r="D26" s="19">
        <f>SUM('R 2008'!D22+'TRT 2008'!D26)</f>
        <v>33981.72</v>
      </c>
      <c r="E26" s="19">
        <f>SUM('R 2008'!E22+'TRT 2008'!E26)</f>
        <v>28408.190000000002</v>
      </c>
      <c r="F26" s="19">
        <f>SUM('R 2008'!F22+'TRT 2008'!F26)</f>
        <v>62241.43</v>
      </c>
      <c r="G26" s="19">
        <f>SUM('R 2008'!G22+'TRT 2008'!G26)</f>
        <v>41737.619999999995</v>
      </c>
      <c r="H26" s="19">
        <f>SUM('R 2008'!H22+'TRT 2008'!H26)</f>
        <v>74462.25</v>
      </c>
      <c r="I26" s="19">
        <f>SUM('R 2008'!I22+'TRT 2008'!I26)</f>
        <v>85559.35</v>
      </c>
      <c r="J26" s="19">
        <f>SUM('R 2008'!J22+'TRT 2008'!J26)</f>
        <v>33682.1</v>
      </c>
      <c r="K26" s="19">
        <f>SUM('R 2008'!K22+'TRT 2008'!K26)</f>
        <v>51514.75</v>
      </c>
      <c r="L26" s="19">
        <f>SUM('R 2008'!L22+'TRT 2008'!L26)</f>
        <v>79488.959999999992</v>
      </c>
      <c r="M26" s="19">
        <f>SUM('R 2008'!M22+'TRT 2008'!M26)</f>
        <v>40157.78</v>
      </c>
      <c r="N26" s="81">
        <f t="shared" si="0"/>
        <v>621174.29999999993</v>
      </c>
      <c r="O26" s="19">
        <f>SUM('TOTAL 2007'!B26:M26)</f>
        <v>612841.30999999994</v>
      </c>
      <c r="P26" s="84">
        <f t="shared" si="1"/>
        <v>1.3597304659504816E-2</v>
      </c>
      <c r="Q26" s="22">
        <f t="shared" si="2"/>
        <v>7.6526016199393041E-3</v>
      </c>
    </row>
    <row r="27" spans="1:17">
      <c r="A27" s="92" t="s">
        <v>36</v>
      </c>
      <c r="B27" s="19">
        <f>SUM('R 2008'!B23+'CR 2008'!C10+'TRT 2008'!B27)</f>
        <v>89673.62</v>
      </c>
      <c r="C27" s="19">
        <f>SUM('R 2008'!C23+'CR 2008'!D10+'TRT 2008'!C27)</f>
        <v>93671.180000000008</v>
      </c>
      <c r="D27" s="19">
        <f>SUM('R 2008'!D23+'CR 2008'!E10+'TRT 2008'!D27)</f>
        <v>61274.069999999992</v>
      </c>
      <c r="E27" s="19">
        <f>SUM('R 2008'!E23+'CR 2008'!F10+'TRT 2008'!E27)</f>
        <v>66997.990000000005</v>
      </c>
      <c r="F27" s="19">
        <f>SUM('R 2008'!F23+'CR 2008'!G10+'TRT 2008'!F27)</f>
        <v>124842.37</v>
      </c>
      <c r="G27" s="19">
        <f>SUM('R 2008'!G23+'CR 2008'!H10+'TRT 2008'!G27)</f>
        <v>78511.12000000001</v>
      </c>
      <c r="H27" s="19">
        <f>SUM('R 2008'!H23+'CR 2008'!I10+'TRT 2008'!H27)</f>
        <v>127980.6</v>
      </c>
      <c r="I27" s="19">
        <f>SUM('R 2008'!I23+'CR 2008'!J10+'TRT 2008'!I27)</f>
        <v>121403.16</v>
      </c>
      <c r="J27" s="19">
        <f>SUM('R 2008'!J23+'CR 2008'!K10+'TRT 2008'!J27)</f>
        <v>103568.32000000001</v>
      </c>
      <c r="K27" s="19">
        <f>SUM('R 2008'!K23+'CR 2008'!L10+'TRT 2008'!K27)</f>
        <v>82385.52</v>
      </c>
      <c r="L27" s="19">
        <f>SUM('R 2008'!L23+'CR 2008'!M10+'TRT 2008'!L27)</f>
        <v>156389.72999999998</v>
      </c>
      <c r="M27" s="19">
        <f>SUM('R 2008'!M23+'CR 2008'!N10+'TRT 2008'!M27)</f>
        <v>100174.42</v>
      </c>
      <c r="N27" s="81">
        <f t="shared" si="0"/>
        <v>1206872.0999999999</v>
      </c>
      <c r="O27" s="19">
        <f>SUM('TOTAL 2007'!B27:M27)</f>
        <v>840026.1</v>
      </c>
      <c r="P27" s="84">
        <f t="shared" si="1"/>
        <v>0.43670785943436741</v>
      </c>
      <c r="Q27" s="22">
        <f t="shared" si="2"/>
        <v>1.4868147937735913E-2</v>
      </c>
    </row>
    <row r="28" spans="1:17">
      <c r="A28" s="92" t="s">
        <v>37</v>
      </c>
      <c r="B28" s="19">
        <f>SUM('R 2008'!B24+'CR 2008'!C11+'TRT 2008'!B28)</f>
        <v>487170.44000000006</v>
      </c>
      <c r="C28" s="19">
        <f>SUM('R 2008'!C24+'CR 2008'!D11+'TRT 2008'!C28)</f>
        <v>596627.84000000008</v>
      </c>
      <c r="D28" s="19">
        <f>SUM('R 2008'!D24+'CR 2008'!E11+'TRT 2008'!D28)</f>
        <v>548454.26</v>
      </c>
      <c r="E28" s="19">
        <f>SUM('R 2008'!E24+'CR 2008'!F11+'TRT 2008'!E28)</f>
        <v>484846.42</v>
      </c>
      <c r="F28" s="19">
        <f>SUM('R 2008'!F24+'CR 2008'!G11+'TRT 2008'!F28)</f>
        <v>624897.56999999995</v>
      </c>
      <c r="G28" s="19">
        <f>SUM('R 2008'!G24+'CR 2008'!H11+'TRT 2008'!G28)</f>
        <v>614323.77</v>
      </c>
      <c r="H28" s="19">
        <f>SUM('R 2008'!H24+'CR 2008'!I11+'TRT 2008'!H28)</f>
        <v>623272.99</v>
      </c>
      <c r="I28" s="19">
        <f>SUM('R 2008'!I24+'CR 2008'!J11+'TRT 2008'!I28)</f>
        <v>687091.13</v>
      </c>
      <c r="J28" s="19">
        <f>SUM('R 2008'!J24+'CR 2008'!K11+'TRT 2008'!J28)</f>
        <v>551353.72</v>
      </c>
      <c r="K28" s="19">
        <f>SUM('R 2008'!K24+'CR 2008'!L11+'TRT 2008'!K28)</f>
        <v>685339.96</v>
      </c>
      <c r="L28" s="19">
        <f>SUM('R 2008'!L24+'CR 2008'!M11+'TRT 2008'!L28)</f>
        <v>626499.97</v>
      </c>
      <c r="M28" s="19">
        <f>SUM('R 2008'!M24+'CR 2008'!N11+'TRT 2008'!M28)</f>
        <v>442455.84</v>
      </c>
      <c r="N28" s="81">
        <f t="shared" si="0"/>
        <v>6972333.9099999992</v>
      </c>
      <c r="O28" s="19">
        <f>SUM('TOTAL 2007'!B28:M28)</f>
        <v>6104965.040000001</v>
      </c>
      <c r="P28" s="84">
        <f t="shared" si="1"/>
        <v>0.14207597657266824</v>
      </c>
      <c r="Q28" s="22">
        <f t="shared" si="2"/>
        <v>8.5896170808135081E-2</v>
      </c>
    </row>
    <row r="29" spans="1:17">
      <c r="A29" s="92" t="s">
        <v>38</v>
      </c>
      <c r="B29" s="19">
        <f>SUM('R 2008'!B25+'TRT 2008'!B29)</f>
        <v>98489.41</v>
      </c>
      <c r="C29" s="19">
        <f>SUM('R 2008'!C25+'TRT 2008'!C29)</f>
        <v>78771.02</v>
      </c>
      <c r="D29" s="19">
        <f>SUM('R 2008'!D25+'TRT 2008'!D29)</f>
        <v>71452.929999999993</v>
      </c>
      <c r="E29" s="19">
        <f>SUM('R 2008'!E25+'TRT 2008'!E29)</f>
        <v>68941.52</v>
      </c>
      <c r="F29" s="19">
        <f>SUM('R 2008'!F25+'TRT 2008'!F29)</f>
        <v>114842.79999999999</v>
      </c>
      <c r="G29" s="19">
        <f>SUM('R 2008'!G25+'TRT 2008'!G29)</f>
        <v>36807.33</v>
      </c>
      <c r="H29" s="19">
        <f>SUM('R 2008'!H25+'TRT 2008'!H29)</f>
        <v>71376.039999999994</v>
      </c>
      <c r="I29" s="19">
        <f>SUM('R 2008'!I25+'TRT 2008'!I29)</f>
        <v>443741.43000000005</v>
      </c>
      <c r="J29" s="19">
        <f>SUM('R 2008'!J25+'TRT 2008'!J29)</f>
        <v>70430.040000000008</v>
      </c>
      <c r="K29" s="19">
        <f>SUM('R 2008'!K25+'TRT 2008'!K29)</f>
        <v>134427.43</v>
      </c>
      <c r="L29" s="19">
        <f>SUM('R 2008'!L25+'TRT 2008'!L29)</f>
        <v>93805.959999999992</v>
      </c>
      <c r="M29" s="19">
        <f>SUM('R 2008'!M25+'TRT 2008'!M29)</f>
        <v>56037.509999999995</v>
      </c>
      <c r="N29" s="81">
        <f t="shared" si="0"/>
        <v>1339123.42</v>
      </c>
      <c r="O29" s="19">
        <f>SUM('TOTAL 2007'!B29:M29)</f>
        <v>830128.21</v>
      </c>
      <c r="P29" s="84">
        <f t="shared" si="1"/>
        <v>0.61315252736682679</v>
      </c>
      <c r="Q29" s="22">
        <f t="shared" si="2"/>
        <v>1.6497427619253824E-2</v>
      </c>
    </row>
    <row r="30" spans="1:17">
      <c r="A30" s="92" t="s">
        <v>39</v>
      </c>
      <c r="B30" s="19">
        <f>SUM('R 2008'!B26+'CR 2008'!C12+'TRT 2008'!B30)</f>
        <v>319601.92000000004</v>
      </c>
      <c r="C30" s="19">
        <f>SUM('R 2008'!C26+'CR 2008'!D12+'TRT 2008'!C30)</f>
        <v>384413.04000000004</v>
      </c>
      <c r="D30" s="19">
        <f>SUM('R 2008'!D26+'CR 2008'!E12+'TRT 2008'!D30)</f>
        <v>243478.15</v>
      </c>
      <c r="E30" s="19">
        <f>SUM('R 2008'!E26+'CR 2008'!F12+'TRT 2008'!E30)</f>
        <v>351565.95999999996</v>
      </c>
      <c r="F30" s="19">
        <f>SUM('R 2008'!F26+'CR 2008'!G12+'TRT 2008'!F30)</f>
        <v>609773.43000000005</v>
      </c>
      <c r="G30" s="19">
        <f>SUM('R 2008'!G26+'CR 2008'!H12+'TRT 2008'!G30)</f>
        <v>360740.54000000004</v>
      </c>
      <c r="H30" s="19">
        <f>SUM('R 2008'!H26+'CR 2008'!I12+'TRT 2008'!H30)</f>
        <v>466227.80000000005</v>
      </c>
      <c r="I30" s="19">
        <f>SUM('R 2008'!I26+'CR 2008'!J12+'TRT 2008'!I30)</f>
        <v>211396.81</v>
      </c>
      <c r="J30" s="19">
        <f>SUM('R 2008'!J26+'CR 2008'!K12+'TRT 2008'!J30)</f>
        <v>370946.13</v>
      </c>
      <c r="K30" s="19">
        <f>SUM('R 2008'!K26+'CR 2008'!L12+'TRT 2008'!K30)</f>
        <v>399829.58</v>
      </c>
      <c r="L30" s="19">
        <f>SUM('R 2008'!L26+'CR 2008'!M12+'TRT 2008'!L30)</f>
        <v>582116.98</v>
      </c>
      <c r="M30" s="19">
        <f>SUM('R 2008'!M26+'CR 2008'!N12+'TRT 2008'!M30)</f>
        <v>481868.57</v>
      </c>
      <c r="N30" s="81">
        <f t="shared" si="0"/>
        <v>4781958.91</v>
      </c>
      <c r="O30" s="19">
        <f>SUM('TOTAL 2007'!B30:M30)</f>
        <v>4501978.45</v>
      </c>
      <c r="P30" s="84">
        <f t="shared" si="1"/>
        <v>6.2190537584647876E-2</v>
      </c>
      <c r="Q30" s="22">
        <f t="shared" si="2"/>
        <v>5.8911687912956465E-2</v>
      </c>
    </row>
    <row r="31" spans="1:17">
      <c r="A31" s="92" t="s">
        <v>40</v>
      </c>
      <c r="B31" s="19">
        <f>SUM('R 2008'!B27+'TRT 2008'!B31)</f>
        <v>6717.57</v>
      </c>
      <c r="C31" s="19">
        <f>SUM('R 2008'!C27+'TRT 2008'!C31)</f>
        <v>23450.74</v>
      </c>
      <c r="D31" s="19">
        <f>SUM('R 2008'!D27+'TRT 2008'!D31)</f>
        <v>493.83</v>
      </c>
      <c r="E31" s="19">
        <f>SUM('R 2008'!E27+'TRT 2008'!E31)</f>
        <v>1956.28</v>
      </c>
      <c r="F31" s="19">
        <f>SUM('R 2008'!F27+'TRT 2008'!F31)</f>
        <v>18198.37</v>
      </c>
      <c r="G31" s="19">
        <f>SUM('R 2008'!G27+'TRT 2008'!G31)</f>
        <v>16493.080000000002</v>
      </c>
      <c r="H31" s="19">
        <f>SUM('R 2008'!H27+'TRT 2008'!H31)</f>
        <v>5033.1899999999996</v>
      </c>
      <c r="I31" s="19">
        <f>SUM('R 2008'!I27+'TRT 2008'!I31)</f>
        <v>54665.24</v>
      </c>
      <c r="J31" s="19">
        <f>SUM('R 2008'!J27+'TRT 2008'!J31)</f>
        <v>25714.63</v>
      </c>
      <c r="K31" s="19">
        <f>SUM('R 2008'!K27+'TRT 2008'!K31)</f>
        <v>34351.040000000001</v>
      </c>
      <c r="L31" s="19">
        <f>SUM('R 2008'!L27+'TRT 2008'!L31)</f>
        <v>59466.05</v>
      </c>
      <c r="M31" s="19">
        <f>SUM('R 2008'!M27+'TRT 2008'!M31)</f>
        <v>6331.45</v>
      </c>
      <c r="N31" s="81">
        <f t="shared" si="0"/>
        <v>252871.47000000003</v>
      </c>
      <c r="O31" s="19">
        <f>SUM('TOTAL 2007'!B31:M31)</f>
        <v>198923.75</v>
      </c>
      <c r="P31" s="84">
        <f t="shared" si="1"/>
        <v>0.27119798415221918</v>
      </c>
      <c r="Q31" s="22">
        <f t="shared" si="2"/>
        <v>3.1152683247816812E-3</v>
      </c>
    </row>
    <row r="32" spans="1:17" ht="13" thickBot="1">
      <c r="A32" s="93" t="s">
        <v>41</v>
      </c>
      <c r="B32" s="20">
        <f>SUM('R 2008'!B28+'CR 2008'!C13+'TRT 2008'!B32)</f>
        <v>220000.67</v>
      </c>
      <c r="C32" s="20">
        <f>SUM('R 2008'!C28+'CR 2008'!D13+'TRT 2008'!C32)</f>
        <v>352349.4</v>
      </c>
      <c r="D32" s="20">
        <f>SUM('R 2008'!D28+'CR 2008'!E13+'TRT 2008'!D32)</f>
        <v>257899.03999999998</v>
      </c>
      <c r="E32" s="20">
        <f>SUM('R 2008'!E28+'CR 2008'!F13+'TRT 2008'!E32)</f>
        <v>217739.96999999997</v>
      </c>
      <c r="F32" s="20">
        <f>SUM('R 2008'!F28+'CR 2008'!G13+'TRT 2008'!F32)</f>
        <v>405955.1</v>
      </c>
      <c r="G32" s="20">
        <f>SUM('R 2008'!G28+'CR 2008'!H13+'TRT 2008'!G32)</f>
        <v>300885.78999999998</v>
      </c>
      <c r="H32" s="20">
        <f>SUM('R 2008'!H28+'CR 2008'!I13+'TRT 2008'!H32)</f>
        <v>319032.86</v>
      </c>
      <c r="I32" s="20">
        <f>SUM('R 2008'!I28+'CR 2008'!J13+'TRT 2008'!I32)</f>
        <v>383465.63999999996</v>
      </c>
      <c r="J32" s="20">
        <f>SUM('R 2008'!J28+'CR 2008'!K13+'TRT 2008'!J32)</f>
        <v>296919.43</v>
      </c>
      <c r="K32" s="20">
        <f>SUM('R 2008'!K28+'CR 2008'!L13+'TRT 2008'!K32)</f>
        <v>278495.99</v>
      </c>
      <c r="L32" s="20">
        <f>SUM('R 2008'!L28+'CR 2008'!M13+'TRT 2008'!L32)</f>
        <v>395507.86</v>
      </c>
      <c r="M32" s="20">
        <f>SUM('R 2008'!M28+'CR 2008'!N13+'TRT 2008'!M32)</f>
        <v>253245.90999999997</v>
      </c>
      <c r="N32" s="82">
        <f t="shared" si="0"/>
        <v>3681497.6600000006</v>
      </c>
      <c r="O32" s="19">
        <f>SUM('TOTAL 2007'!B32:M32)</f>
        <v>3516692.2600000002</v>
      </c>
      <c r="P32" s="85">
        <f t="shared" si="1"/>
        <v>4.6863753725212343E-2</v>
      </c>
      <c r="Q32" s="21">
        <f t="shared" si="2"/>
        <v>4.5354476121627643E-2</v>
      </c>
    </row>
    <row r="33" spans="1:17" s="154" customFormat="1" ht="14" thickTop="1" thickBot="1">
      <c r="A33" s="162" t="s">
        <v>54</v>
      </c>
      <c r="B33" s="163">
        <f>SUM(B4:B32)</f>
        <v>4830264.1000000006</v>
      </c>
      <c r="C33" s="164">
        <f t="shared" ref="C33:M33" si="3">SUM(C4:C32)</f>
        <v>7044438.4700000007</v>
      </c>
      <c r="D33" s="163">
        <f t="shared" si="3"/>
        <v>6939135.5929999994</v>
      </c>
      <c r="E33" s="163">
        <f t="shared" si="3"/>
        <v>6803279.29</v>
      </c>
      <c r="F33" s="163">
        <f t="shared" si="3"/>
        <v>9206186.8599999975</v>
      </c>
      <c r="G33" s="163">
        <f t="shared" si="3"/>
        <v>5757907.9700000007</v>
      </c>
      <c r="H33" s="165">
        <f t="shared" si="3"/>
        <v>6861045.21</v>
      </c>
      <c r="I33" s="163">
        <f t="shared" si="3"/>
        <v>7618831.2899999982</v>
      </c>
      <c r="J33" s="163">
        <f t="shared" si="3"/>
        <v>6509712.0099999988</v>
      </c>
      <c r="K33" s="163">
        <f t="shared" si="3"/>
        <v>6725924.6899999995</v>
      </c>
      <c r="L33" s="163">
        <f t="shared" si="3"/>
        <v>7760761.5900000017</v>
      </c>
      <c r="M33" s="166">
        <f t="shared" si="3"/>
        <v>5114162.8900000006</v>
      </c>
      <c r="N33" s="167">
        <f>SUM(N4:N32)</f>
        <v>81171649.963</v>
      </c>
      <c r="O33" s="168">
        <f>SUM(O4:O32)</f>
        <v>78577189.730000004</v>
      </c>
      <c r="P33" s="169">
        <f>N33/O33-1</f>
        <v>3.3017981960348219E-2</v>
      </c>
      <c r="Q33" s="170">
        <f t="shared" si="2"/>
        <v>1</v>
      </c>
    </row>
    <row r="34" spans="1:17">
      <c r="B34" s="28">
        <f>B33/'TOTAL 2007'!B33-1</f>
        <v>0.12432767106555742</v>
      </c>
      <c r="C34" s="28">
        <f>C33/'TOTAL 2007'!C33-1</f>
        <v>9.3157104802843893E-2</v>
      </c>
      <c r="D34" s="28">
        <f>D33/'TOTAL 2007'!D33-1</f>
        <v>9.6387917963497882E-2</v>
      </c>
      <c r="E34" s="28">
        <f>E33/'TOTAL 2007'!E33-1</f>
        <v>2.0306539002438839E-2</v>
      </c>
      <c r="F34" s="28">
        <f>F33/'TOTAL 2007'!F33-1</f>
        <v>0.14402257182546307</v>
      </c>
      <c r="G34" s="28">
        <f>G33/'TOTAL 2007'!G33-1</f>
        <v>-6.1905308772536305E-3</v>
      </c>
      <c r="H34" s="28">
        <f>H33/'TOTAL 2007'!H33-1</f>
        <v>7.8739462142161543E-2</v>
      </c>
      <c r="I34" s="28">
        <f>I33/'TOTAL 2007'!I33-1</f>
        <v>-2.4967128865176602E-2</v>
      </c>
      <c r="J34" s="28">
        <f>J33/'TOTAL 2007'!J33-1</f>
        <v>9.4805066614205291E-3</v>
      </c>
      <c r="K34" s="28">
        <f>K33/'TOTAL 2007'!K33-1</f>
        <v>-3.5374884236160642E-2</v>
      </c>
      <c r="L34" s="28">
        <f>L33/'TOTAL 2007'!L33-1</f>
        <v>-4.9364571092767928E-2</v>
      </c>
      <c r="M34" s="28">
        <f>M33/'TOTAL 2007'!M33-1</f>
        <v>-2.3996272158562482E-2</v>
      </c>
      <c r="N34" s="28"/>
    </row>
    <row r="37" spans="1:17">
      <c r="I37" s="100"/>
      <c r="J37" s="121"/>
    </row>
    <row r="38" spans="1:17">
      <c r="J38" s="121"/>
    </row>
  </sheetData>
  <mergeCells count="1">
    <mergeCell ref="A1:Q1"/>
  </mergeCells>
  <phoneticPr fontId="0" type="noConversion"/>
  <pageMargins left="0" right="0" top="1" bottom="1" header="0.5" footer="0.5"/>
  <pageSetup scale="87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1"/>
    <pageSetUpPr fitToPage="1"/>
  </sheetPr>
  <dimension ref="A1:Q34"/>
  <sheetViews>
    <sheetView workbookViewId="0">
      <selection activeCell="P43" sqref="P43"/>
    </sheetView>
  </sheetViews>
  <sheetFormatPr baseColWidth="10" defaultColWidth="8.83203125" defaultRowHeight="12" x14ac:dyDescent="0"/>
  <cols>
    <col min="14" max="15" width="9.5" bestFit="1" customWidth="1"/>
  </cols>
  <sheetData>
    <row r="1" spans="1:17" ht="21">
      <c r="A1" s="691" t="s">
        <v>90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</row>
    <row r="2" spans="1:17" ht="13" thickBot="1">
      <c r="A2" s="47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s="154" customFormat="1" ht="13" thickBot="1">
      <c r="A3" s="155" t="s">
        <v>42</v>
      </c>
      <c r="B3" s="156" t="s">
        <v>2</v>
      </c>
      <c r="C3" s="157" t="s">
        <v>3</v>
      </c>
      <c r="D3" s="156" t="s">
        <v>4</v>
      </c>
      <c r="E3" s="156" t="s">
        <v>5</v>
      </c>
      <c r="F3" s="156" t="s">
        <v>6</v>
      </c>
      <c r="G3" s="156" t="s">
        <v>7</v>
      </c>
      <c r="H3" s="156" t="s">
        <v>8</v>
      </c>
      <c r="I3" s="156" t="s">
        <v>9</v>
      </c>
      <c r="J3" s="156" t="s">
        <v>10</v>
      </c>
      <c r="K3" s="156" t="s">
        <v>11</v>
      </c>
      <c r="L3" s="156" t="s">
        <v>12</v>
      </c>
      <c r="M3" s="158" t="s">
        <v>13</v>
      </c>
      <c r="N3" s="159" t="s">
        <v>87</v>
      </c>
      <c r="O3" s="156" t="s">
        <v>79</v>
      </c>
      <c r="P3" s="160" t="s">
        <v>16</v>
      </c>
      <c r="Q3" s="161" t="s">
        <v>58</v>
      </c>
    </row>
    <row r="4" spans="1:17">
      <c r="A4" s="92" t="s">
        <v>17</v>
      </c>
      <c r="B4" s="36">
        <f>SUM('R 2007'!B4+'TRT 2007'!B4)</f>
        <v>6176.2699999999995</v>
      </c>
      <c r="C4" s="36">
        <f>SUM('R 2007'!C4+'TRT 2007'!C4)</f>
        <v>31054.940000000002</v>
      </c>
      <c r="D4" s="36">
        <f>SUM('R 2007'!D4+'TRT 2007'!D4)</f>
        <v>6021.7800000000007</v>
      </c>
      <c r="E4" s="36">
        <f>SUM('R 2007'!E4+'TRT 2007'!E4)</f>
        <v>3764.1099999999997</v>
      </c>
      <c r="F4" s="36">
        <f>SUM('R 2007'!F4+'TRT 2007'!F4)</f>
        <v>24532.18</v>
      </c>
      <c r="G4" s="36">
        <f>SUM('R 2007'!G4+'TRT 2007'!G4)</f>
        <v>11954.11</v>
      </c>
      <c r="H4" s="36">
        <f>SUM('R 2007'!H4+'TRT 2007'!H4)</f>
        <v>6169.34</v>
      </c>
      <c r="I4" s="36">
        <f>SUM('R 2007'!I4+'TRT 2007'!I4)</f>
        <v>59167.72</v>
      </c>
      <c r="J4" s="36">
        <f>SUM('R 2007'!J4+'TRT 2007'!J4)</f>
        <v>14036.380000000001</v>
      </c>
      <c r="K4" s="36">
        <f>SUM('R 2007'!K4+'TRT 2007'!K4)</f>
        <v>11299.380000000001</v>
      </c>
      <c r="L4" s="36">
        <f>SUM('R 2007'!L4+'TRT 2007'!L4)</f>
        <v>55889.77</v>
      </c>
      <c r="M4" s="36">
        <f>SUM('R 2007'!M4+'TRT 2007'!M4)</f>
        <v>17632.239999999998</v>
      </c>
      <c r="N4" s="81">
        <f t="shared" ref="N4:N33" si="0">SUM(B4:M4)</f>
        <v>247698.22</v>
      </c>
      <c r="O4" s="19">
        <f>SUM('TOTAL 2006'!B4:L4)</f>
        <v>186395.47</v>
      </c>
      <c r="P4" s="84">
        <f t="shared" ref="P4:P32" si="1">N4/O4-1</f>
        <v>0.3288854069253937</v>
      </c>
      <c r="Q4" s="22">
        <f>N4/$N$33</f>
        <v>3.1522916618820134E-3</v>
      </c>
    </row>
    <row r="5" spans="1:17">
      <c r="A5" s="92" t="s">
        <v>18</v>
      </c>
      <c r="B5" s="19">
        <f>SUM('R 2007'!B5+'TRT 2007'!B5)</f>
        <v>27662.94</v>
      </c>
      <c r="C5" s="19">
        <f>SUM('R 2007'!C5+'TRT 2007'!C5)</f>
        <v>49544.75</v>
      </c>
      <c r="D5" s="19">
        <f>SUM('R 2007'!D5+'TRT 2007'!D5)</f>
        <v>30097.200000000001</v>
      </c>
      <c r="E5" s="19">
        <f>SUM('R 2007'!E5+'TRT 2007'!E5)</f>
        <v>30077.309999999998</v>
      </c>
      <c r="F5" s="19">
        <f>SUM('R 2007'!F5+'TRT 2007'!F5)</f>
        <v>49783.189999999995</v>
      </c>
      <c r="G5" s="19">
        <f>SUM('R 2007'!G5+'TRT 2007'!G5)</f>
        <v>38561.699999999997</v>
      </c>
      <c r="H5" s="19">
        <f>SUM('R 2007'!H5+'TRT 2007'!H5)</f>
        <v>36197.770000000004</v>
      </c>
      <c r="I5" s="19">
        <f>SUM('R 2007'!I5+'TRT 2007'!I5)</f>
        <v>68794.84</v>
      </c>
      <c r="J5" s="19">
        <f>SUM('R 2007'!J5+'TRT 2007'!J5)</f>
        <v>44502.22</v>
      </c>
      <c r="K5" s="19">
        <f>SUM('R 2007'!K5+'TRT 2007'!K5)</f>
        <v>40546.020000000004</v>
      </c>
      <c r="L5" s="19">
        <f>SUM('R 2007'!L5+'TRT 2007'!L5)</f>
        <v>72589.09</v>
      </c>
      <c r="M5" s="19">
        <f>SUM('R 2007'!M5+'TRT 2007'!M5)</f>
        <v>34520.089999999997</v>
      </c>
      <c r="N5" s="81">
        <f t="shared" si="0"/>
        <v>522877.12</v>
      </c>
      <c r="O5" s="19">
        <f>SUM('TOTAL 2006'!B5:L5)</f>
        <v>408658.07</v>
      </c>
      <c r="P5" s="84">
        <f t="shared" si="1"/>
        <v>0.27949784522791865</v>
      </c>
      <c r="Q5" s="22">
        <f t="shared" ref="Q5:Q33" si="2">N5/$N$33</f>
        <v>6.6543117894221487E-3</v>
      </c>
    </row>
    <row r="6" spans="1:17">
      <c r="A6" s="92" t="s">
        <v>19</v>
      </c>
      <c r="B6" s="19">
        <f>SUM('R 2007'!B6+'TRT 2007'!B6)</f>
        <v>75608.45</v>
      </c>
      <c r="C6" s="19">
        <f>SUM('R 2007'!C6+'TRT 2007'!C6)</f>
        <v>113615.57999999999</v>
      </c>
      <c r="D6" s="19">
        <f>SUM('R 2007'!D6+'TRT 2007'!D6)</f>
        <v>80782.13</v>
      </c>
      <c r="E6" s="19">
        <f>SUM('R 2007'!E6+'TRT 2007'!E6)</f>
        <v>72070.05</v>
      </c>
      <c r="F6" s="19">
        <f>SUM('R 2007'!F6+'TRT 2007'!F6)</f>
        <v>119005.14</v>
      </c>
      <c r="G6" s="19">
        <f>SUM('R 2007'!G6+'TRT 2007'!G6)</f>
        <v>141271.83000000002</v>
      </c>
      <c r="H6" s="19">
        <f>SUM('R 2007'!H6+'TRT 2007'!H6)</f>
        <v>55123.45</v>
      </c>
      <c r="I6" s="19">
        <f>SUM('R 2007'!I6+'TRT 2007'!I6)</f>
        <v>142010.28</v>
      </c>
      <c r="J6" s="19">
        <f>SUM('R 2007'!J6+'TRT 2007'!J6)</f>
        <v>106881.61</v>
      </c>
      <c r="K6" s="19">
        <f>SUM('R 2007'!K6+'TRT 2007'!K6)</f>
        <v>101806.70999999999</v>
      </c>
      <c r="L6" s="19">
        <f>SUM('R 2007'!L6+'TRT 2007'!L6)</f>
        <v>143633.41</v>
      </c>
      <c r="M6" s="19">
        <f>SUM('R 2007'!M6+'TRT 2007'!M6)</f>
        <v>79923.850000000006</v>
      </c>
      <c r="N6" s="81">
        <f t="shared" si="0"/>
        <v>1231732.49</v>
      </c>
      <c r="O6" s="19">
        <f>SUM('TOTAL 2006'!B6:L6)</f>
        <v>1014205.83</v>
      </c>
      <c r="P6" s="84">
        <f t="shared" si="1"/>
        <v>0.21447979647287174</v>
      </c>
      <c r="Q6" s="22">
        <f t="shared" si="2"/>
        <v>1.5675445943439441E-2</v>
      </c>
    </row>
    <row r="7" spans="1:17">
      <c r="A7" s="92" t="s">
        <v>20</v>
      </c>
      <c r="B7" s="19">
        <f>SUM('R 2007'!B7+'TRT 2007'!B7)</f>
        <v>22823.010000000002</v>
      </c>
      <c r="C7" s="19">
        <f>SUM('R 2007'!C7+'TRT 2007'!C7)</f>
        <v>37700.839999999997</v>
      </c>
      <c r="D7" s="19">
        <f>SUM('R 2007'!D7+'TRT 2007'!D7)</f>
        <v>18959.97</v>
      </c>
      <c r="E7" s="19">
        <f>SUM('R 2007'!E7+'TRT 2007'!E7)</f>
        <v>26792.370000000003</v>
      </c>
      <c r="F7" s="19">
        <f>SUM('R 2007'!F7+'TRT 2007'!F7)</f>
        <v>38250.590000000004</v>
      </c>
      <c r="G7" s="19">
        <f>SUM('R 2007'!G7+'TRT 2007'!G7)</f>
        <v>38698.980000000003</v>
      </c>
      <c r="H7" s="19">
        <f>SUM('R 2007'!H7+'TRT 2007'!H7)</f>
        <v>34424.800000000003</v>
      </c>
      <c r="I7" s="19">
        <f>SUM('R 2007'!I7+'TRT 2007'!I7)</f>
        <v>52309.77</v>
      </c>
      <c r="J7" s="19">
        <f>SUM('R 2007'!J7+'TRT 2007'!J7)</f>
        <v>48880.490000000005</v>
      </c>
      <c r="K7" s="19">
        <f>SUM('R 2007'!K7+'TRT 2007'!K7)</f>
        <v>39456.14</v>
      </c>
      <c r="L7" s="19">
        <f>SUM('R 2007'!L7+'TRT 2007'!L7)</f>
        <v>56463.72</v>
      </c>
      <c r="M7" s="19">
        <f>SUM('R 2007'!M7+'TRT 2007'!M7)</f>
        <v>37598.69</v>
      </c>
      <c r="N7" s="81">
        <f t="shared" si="0"/>
        <v>452359.37000000005</v>
      </c>
      <c r="O7" s="19">
        <f>SUM('TOTAL 2006'!B7:L7)</f>
        <v>380181.56</v>
      </c>
      <c r="P7" s="84">
        <f t="shared" si="1"/>
        <v>0.18985089650323927</v>
      </c>
      <c r="Q7" s="22">
        <f t="shared" si="2"/>
        <v>5.7568789562767175E-3</v>
      </c>
    </row>
    <row r="8" spans="1:17">
      <c r="A8" s="92" t="s">
        <v>21</v>
      </c>
      <c r="B8" s="19">
        <f>SUM('R 2007'!B8+'TRT 2007'!B8)</f>
        <v>2036.68</v>
      </c>
      <c r="C8" s="19">
        <f>SUM('R 2007'!C8+'TRT 2007'!C8)</f>
        <v>1592.94</v>
      </c>
      <c r="D8" s="19">
        <f>SUM('R 2007'!D8+'TRT 2007'!D8)</f>
        <v>1633.87</v>
      </c>
      <c r="E8" s="19">
        <f>SUM('R 2007'!E8+'TRT 2007'!E8)</f>
        <v>1537.89</v>
      </c>
      <c r="F8" s="19">
        <f>SUM('R 2007'!F8+'TRT 2007'!F8)</f>
        <v>3802.81</v>
      </c>
      <c r="G8" s="19">
        <f>SUM('R 2007'!G8+'TRT 2007'!G8)</f>
        <v>5789.6799999999994</v>
      </c>
      <c r="H8" s="19">
        <f>SUM('R 2007'!H8+'TRT 2007'!H8)</f>
        <v>7565.61</v>
      </c>
      <c r="I8" s="19">
        <f>SUM('R 2007'!I8+'TRT 2007'!I8)</f>
        <v>13359.89</v>
      </c>
      <c r="J8" s="19">
        <f>SUM('R 2007'!J8+'TRT 2007'!J8)</f>
        <v>12167.43</v>
      </c>
      <c r="K8" s="19">
        <f>SUM('R 2007'!K8+'TRT 2007'!K8)</f>
        <v>11362.48</v>
      </c>
      <c r="L8" s="19">
        <f>SUM('R 2007'!L8+'TRT 2007'!L8)</f>
        <v>17127.86</v>
      </c>
      <c r="M8" s="19">
        <f>SUM('R 2007'!M8+'TRT 2007'!M8)</f>
        <v>5563.12</v>
      </c>
      <c r="N8" s="81">
        <f t="shared" si="0"/>
        <v>83540.259999999995</v>
      </c>
      <c r="O8" s="19">
        <f>SUM('TOTAL 2006'!B8:L8)</f>
        <v>72362.97</v>
      </c>
      <c r="P8" s="84">
        <f t="shared" si="1"/>
        <v>0.15446146005339467</v>
      </c>
      <c r="Q8" s="22">
        <f t="shared" si="2"/>
        <v>1.063161717631461E-3</v>
      </c>
    </row>
    <row r="9" spans="1:17">
      <c r="A9" s="92" t="s">
        <v>22</v>
      </c>
      <c r="B9" s="19">
        <f>SUM('R 2007'!B9+'CR 2007'!C4+'TRT 2007'!B9)</f>
        <v>286622.98</v>
      </c>
      <c r="C9" s="19">
        <f>SUM('R 2007'!C9+'CR 2007'!D4+'TRT 2007'!C9)</f>
        <v>370201.68</v>
      </c>
      <c r="D9" s="19">
        <f>SUM('R 2007'!D9+'CR 2007'!E4+'TRT 2007'!D9)</f>
        <v>288495.81</v>
      </c>
      <c r="E9" s="19">
        <f>SUM('R 2007'!E9+'CR 2007'!F4+'TRT 2007'!E9)</f>
        <v>239584.11</v>
      </c>
      <c r="F9" s="19">
        <f>SUM('R 2007'!F9+'CR 2007'!G4+'TRT 2007'!F9)</f>
        <v>346700.98</v>
      </c>
      <c r="G9" s="19">
        <f>SUM('R 2007'!G9+'CR 2007'!H4+'TRT 2007'!G9)</f>
        <v>314505.46000000002</v>
      </c>
      <c r="H9" s="19">
        <f>SUM('R 2007'!H9+'CR 2007'!I4+'TRT 2007'!H9)</f>
        <v>362827.08</v>
      </c>
      <c r="I9" s="19">
        <f>SUM('R 2007'!I9+'CR 2007'!J4+'TRT 2007'!I9)</f>
        <v>449397.04000000004</v>
      </c>
      <c r="J9" s="19">
        <f>SUM('R 2007'!J9+'CR 2007'!K4+'TRT 2007'!J9)</f>
        <v>342362.4</v>
      </c>
      <c r="K9" s="19">
        <f>SUM('R 2007'!K9+'CR 2007'!L4+'TRT 2007'!K9)</f>
        <v>336994.68</v>
      </c>
      <c r="L9" s="19">
        <f>SUM('R 2007'!L9+'CR 2007'!M4+'TRT 2007'!L9)</f>
        <v>417830.36</v>
      </c>
      <c r="M9" s="19">
        <f>SUM('R 2007'!M9+'CR 2007'!N4+'TRT 2007'!M9)</f>
        <v>314755.02</v>
      </c>
      <c r="N9" s="81">
        <f t="shared" si="0"/>
        <v>4070277.6</v>
      </c>
      <c r="O9" s="19">
        <f>SUM('TOTAL 2006'!B9:L9)</f>
        <v>3134147.6</v>
      </c>
      <c r="P9" s="84">
        <f t="shared" si="1"/>
        <v>0.29868727305631682</v>
      </c>
      <c r="Q9" s="22">
        <f t="shared" si="2"/>
        <v>5.179973493562099E-2</v>
      </c>
    </row>
    <row r="10" spans="1:17">
      <c r="A10" s="92" t="s">
        <v>23</v>
      </c>
      <c r="B10" s="19">
        <f>SUM('R 2007'!B10+'TRT 2007'!B10+'CR 2007'!C5)</f>
        <v>11339.76</v>
      </c>
      <c r="C10" s="19">
        <f>SUM('R 2007'!C10+'TRT 2007'!C10+'CR 2007'!D5)</f>
        <v>15183.93</v>
      </c>
      <c r="D10" s="19">
        <f>SUM('R 2007'!D10+'TRT 2007'!D10+'CR 2007'!E5)</f>
        <v>10866.720000000001</v>
      </c>
      <c r="E10" s="19">
        <f>SUM('R 2007'!E10+'TRT 2007'!E10+'CR 2007'!F5)</f>
        <v>8599.65</v>
      </c>
      <c r="F10" s="19">
        <f>SUM('R 2007'!F10+'TRT 2007'!F10+'CR 2007'!G5)</f>
        <v>19712.260000000002</v>
      </c>
      <c r="G10" s="19">
        <f>SUM('R 2007'!G10+'TRT 2007'!G10+'CR 2007'!H5)</f>
        <v>20106.57</v>
      </c>
      <c r="H10" s="19">
        <f>SUM('R 2007'!H10+'TRT 2007'!H10+'CR 2007'!I5)</f>
        <v>20536</v>
      </c>
      <c r="I10" s="19">
        <f>SUM('R 2007'!I10+'TRT 2007'!I10+'CR 2007'!J5)</f>
        <v>26575.370000000003</v>
      </c>
      <c r="J10" s="19">
        <f>SUM('R 2007'!J10+'TRT 2007'!J10+'CR 2007'!K5)</f>
        <v>14570.279999999999</v>
      </c>
      <c r="K10" s="19">
        <f>SUM('R 2007'!K10+'TRT 2007'!K10+'CR 2007'!L5)</f>
        <v>11868.36</v>
      </c>
      <c r="L10" s="19">
        <f>SUM('R 2007'!L10+'TRT 2007'!L10+'CR 2007'!M5)</f>
        <v>20770.5</v>
      </c>
      <c r="M10" s="19">
        <f>SUM('R 2007'!M10+'TRT 2007'!M10+'CR 2007'!N5)</f>
        <v>10030.49</v>
      </c>
      <c r="N10" s="81">
        <f t="shared" si="0"/>
        <v>190159.89</v>
      </c>
      <c r="O10" s="19">
        <f>SUM('TOTAL 2006'!B10:L10)</f>
        <v>152623.78</v>
      </c>
      <c r="P10" s="84">
        <f t="shared" si="1"/>
        <v>0.24593880455588257</v>
      </c>
      <c r="Q10" s="22">
        <f t="shared" si="2"/>
        <v>2.4200393352499703E-3</v>
      </c>
    </row>
    <row r="11" spans="1:17">
      <c r="A11" s="92" t="s">
        <v>51</v>
      </c>
      <c r="B11" s="19">
        <f>'TRT 2007'!B11</f>
        <v>18338.259999999998</v>
      </c>
      <c r="C11" s="19">
        <f>'TRT 2007'!C11</f>
        <v>5708</v>
      </c>
      <c r="D11" s="19">
        <f>'TRT 2007'!D11</f>
        <v>4243</v>
      </c>
      <c r="E11" s="19">
        <f>'TRT 2007'!E11</f>
        <v>11215</v>
      </c>
      <c r="F11" s="19">
        <f>'TRT 2007'!F11</f>
        <v>20985</v>
      </c>
      <c r="G11" s="19">
        <f>'TRT 2007'!G11</f>
        <v>10931</v>
      </c>
      <c r="H11" s="19">
        <f>'TRT 2007'!H11</f>
        <v>28560</v>
      </c>
      <c r="I11" s="19">
        <f>'TRT 2007'!I11</f>
        <v>32960</v>
      </c>
      <c r="J11" s="19">
        <f>'TRT 2007'!J11</f>
        <v>10440</v>
      </c>
      <c r="K11" s="19">
        <f>'TRT 2007'!K11</f>
        <v>58957</v>
      </c>
      <c r="L11" s="19">
        <f>'TRT 2007'!L11</f>
        <v>26481</v>
      </c>
      <c r="M11" s="19">
        <f>'TRT 2007'!M11</f>
        <v>17904</v>
      </c>
      <c r="N11" s="81">
        <f t="shared" si="0"/>
        <v>246722.26</v>
      </c>
      <c r="O11" s="19">
        <f>SUM('TOTAL 2006'!B11:L11)</f>
        <v>163240</v>
      </c>
      <c r="P11" s="84">
        <f t="shared" si="1"/>
        <v>0.51140811075716752</v>
      </c>
      <c r="Q11" s="22">
        <f t="shared" si="2"/>
        <v>3.139871263502363E-3</v>
      </c>
    </row>
    <row r="12" spans="1:17">
      <c r="A12" s="92" t="s">
        <v>24</v>
      </c>
      <c r="B12" s="19">
        <f>SUM('R 2007'!B11+'TRT 2007'!B12)</f>
        <v>20701.919999999998</v>
      </c>
      <c r="C12" s="19">
        <f>SUM('R 2007'!C11+'TRT 2007'!C12)</f>
        <v>26952.92</v>
      </c>
      <c r="D12" s="19">
        <f>SUM('R 2007'!D11+'TRT 2007'!D12)</f>
        <v>3089.04</v>
      </c>
      <c r="E12" s="19">
        <f>SUM('R 2007'!E11+'TRT 2007'!E12)</f>
        <v>13033.27</v>
      </c>
      <c r="F12" s="19">
        <f>SUM('R 2007'!F11+'TRT 2007'!F12)</f>
        <v>55038.69</v>
      </c>
      <c r="G12" s="19">
        <f>SUM('R 2007'!G11+'TRT 2007'!G12)</f>
        <v>94692.63</v>
      </c>
      <c r="H12" s="19">
        <f>SUM('R 2007'!H11+'TRT 2007'!H12)</f>
        <v>146739.57999999999</v>
      </c>
      <c r="I12" s="19">
        <f>SUM('R 2007'!I11+'TRT 2007'!I12)</f>
        <v>156659.76</v>
      </c>
      <c r="J12" s="19">
        <f>SUM('R 2007'!J11+'TRT 2007'!J12)</f>
        <v>148885.07</v>
      </c>
      <c r="K12" s="19">
        <f>SUM('R 2007'!K11+'TRT 2007'!K12)</f>
        <v>196503.62</v>
      </c>
      <c r="L12" s="19">
        <f>SUM('R 2007'!L11+'TRT 2007'!L12)</f>
        <v>165224.73000000001</v>
      </c>
      <c r="M12" s="19">
        <f>SUM('R 2007'!M11+'TRT 2007'!M12)</f>
        <v>118832.91</v>
      </c>
      <c r="N12" s="81">
        <f t="shared" si="0"/>
        <v>1146354.1399999999</v>
      </c>
      <c r="O12" s="19">
        <f>SUM('TOTAL 2006'!B12:L12)</f>
        <v>655608.74</v>
      </c>
      <c r="P12" s="84">
        <f t="shared" si="1"/>
        <v>0.74853395029480518</v>
      </c>
      <c r="Q12" s="22">
        <f t="shared" si="2"/>
        <v>1.4588892068283439E-2</v>
      </c>
    </row>
    <row r="13" spans="1:17">
      <c r="A13" s="92" t="s">
        <v>59</v>
      </c>
      <c r="B13" s="19">
        <f>SUM('R 2007'!B12+'CR 2007'!C6+'TRT 2007'!B13)</f>
        <v>29832.980000000003</v>
      </c>
      <c r="C13" s="19">
        <f>SUM('R 2007'!C12+'CR 2007'!D6+'TRT 2007'!C13)</f>
        <v>48036.770000000004</v>
      </c>
      <c r="D13" s="19">
        <f>SUM('R 2007'!D12+'CR 2007'!E6+'TRT 2007'!D13)</f>
        <v>116599.88</v>
      </c>
      <c r="E13" s="19">
        <f>SUM('R 2007'!E12+'CR 2007'!F6+'TRT 2007'!E13)</f>
        <v>182254.98</v>
      </c>
      <c r="F13" s="19">
        <f>SUM('R 2007'!F12+'CR 2007'!G6+'TRT 2007'!F13)</f>
        <v>206136.02000000002</v>
      </c>
      <c r="G13" s="19">
        <f>SUM('R 2007'!G12+'CR 2007'!H6+'TRT 2007'!G13)</f>
        <v>178600.59</v>
      </c>
      <c r="H13" s="19">
        <f>SUM('R 2007'!H12+'CR 2007'!I6+'TRT 2007'!H13)</f>
        <v>154055.29999999999</v>
      </c>
      <c r="I13" s="19">
        <f>SUM('R 2007'!I12+'CR 2007'!J6+'TRT 2007'!I13)</f>
        <v>191720.24000000002</v>
      </c>
      <c r="J13" s="19">
        <f>SUM('R 2007'!J12+'CR 2007'!K6+'TRT 2007'!J13)</f>
        <v>186222.46999999997</v>
      </c>
      <c r="K13" s="19">
        <f>SUM('R 2007'!K12+'CR 2007'!L6+'TRT 2007'!K13)</f>
        <v>154738.13</v>
      </c>
      <c r="L13" s="19">
        <f>SUM('R 2007'!L12+'CR 2007'!M6+'TRT 2007'!L13)</f>
        <v>104827.76000000001</v>
      </c>
      <c r="M13" s="19">
        <f>SUM('R 2007'!M12+'CR 2007'!N6+'TRT 2007'!M13)</f>
        <v>45336.75</v>
      </c>
      <c r="N13" s="81">
        <f t="shared" si="0"/>
        <v>1598361.8699999999</v>
      </c>
      <c r="O13" s="19">
        <f>SUM('TOTAL 2006'!B13:L13)</f>
        <v>1306676.3499999999</v>
      </c>
      <c r="P13" s="84">
        <f t="shared" si="1"/>
        <v>0.22322706001375181</v>
      </c>
      <c r="Q13" s="22">
        <f t="shared" si="2"/>
        <v>2.0341295934509108E-2</v>
      </c>
    </row>
    <row r="14" spans="1:17">
      <c r="A14" s="92" t="s">
        <v>26</v>
      </c>
      <c r="B14" s="19">
        <f>SUM('R 2007'!B13+'TRT 2007'!B14)</f>
        <v>46220.729999999996</v>
      </c>
      <c r="C14" s="19">
        <f>SUM('R 2007'!C13+'TRT 2007'!C14)</f>
        <v>133903.84</v>
      </c>
      <c r="D14" s="19">
        <f>SUM('R 2007'!D13+'TRT 2007'!D14)</f>
        <v>57199.7</v>
      </c>
      <c r="E14" s="19">
        <f>SUM('R 2007'!E13+'TRT 2007'!E14)</f>
        <v>71365.63</v>
      </c>
      <c r="F14" s="19">
        <f>SUM('R 2007'!F13+'TRT 2007'!F14)</f>
        <v>145710.65</v>
      </c>
      <c r="G14" s="19">
        <f>SUM('R 2007'!G13+'TRT 2007'!G14)</f>
        <v>92881.279999999999</v>
      </c>
      <c r="H14" s="19">
        <f>SUM('R 2007'!H13+'TRT 2007'!H14)</f>
        <v>94040.39</v>
      </c>
      <c r="I14" s="19">
        <f>SUM('R 2007'!I13+'TRT 2007'!I14)</f>
        <v>206531.83000000002</v>
      </c>
      <c r="J14" s="19">
        <f>SUM('R 2007'!J13+'TRT 2007'!J14)</f>
        <v>144413.73000000001</v>
      </c>
      <c r="K14" s="19">
        <f>SUM('R 2007'!K13+'TRT 2007'!K14)</f>
        <v>105798.68</v>
      </c>
      <c r="L14" s="19">
        <f>SUM('R 2007'!L13+'TRT 2007'!L14)</f>
        <v>189415.45</v>
      </c>
      <c r="M14" s="19">
        <f>SUM('R 2007'!M13+'TRT 2007'!M14)</f>
        <v>88545.31</v>
      </c>
      <c r="N14" s="81">
        <f t="shared" si="0"/>
        <v>1376027.22</v>
      </c>
      <c r="O14" s="19">
        <f>SUM('TOTAL 2006'!B14:L14)</f>
        <v>955311.66000000015</v>
      </c>
      <c r="P14" s="84">
        <f t="shared" si="1"/>
        <v>0.44039613208531314</v>
      </c>
      <c r="Q14" s="22">
        <f t="shared" si="2"/>
        <v>1.7511789677490161E-2</v>
      </c>
    </row>
    <row r="15" spans="1:17">
      <c r="A15" s="92" t="s">
        <v>27</v>
      </c>
      <c r="B15" s="19">
        <f>SUM('R 2007'!B14+'TRT 2007'!B15)</f>
        <v>4979.38</v>
      </c>
      <c r="C15" s="19">
        <f>SUM('R 2007'!C14+'TRT 2007'!C15)</f>
        <v>21108.35</v>
      </c>
      <c r="D15" s="19">
        <f>SUM('R 2007'!D14+'TRT 2007'!D15)</f>
        <v>4772.2</v>
      </c>
      <c r="E15" s="19">
        <f>SUM('R 2007'!E14+'TRT 2007'!E15)</f>
        <v>4633.34</v>
      </c>
      <c r="F15" s="19">
        <f>SUM('R 2007'!F14+'TRT 2007'!F15)</f>
        <v>20694.73</v>
      </c>
      <c r="G15" s="19">
        <f>SUM('R 2007'!G14+'TRT 2007'!G15)</f>
        <v>9046.83</v>
      </c>
      <c r="H15" s="19">
        <f>SUM('R 2007'!H14+'TRT 2007'!H15)</f>
        <v>5438.13</v>
      </c>
      <c r="I15" s="19">
        <f>SUM('R 2007'!I14+'TRT 2007'!I15)</f>
        <v>30181.21</v>
      </c>
      <c r="J15" s="19">
        <f>SUM('R 2007'!J14+'TRT 2007'!J15)</f>
        <v>9527.7800000000007</v>
      </c>
      <c r="K15" s="19">
        <f>SUM('R 2007'!K14+'TRT 2007'!K15)</f>
        <v>4781.1000000000004</v>
      </c>
      <c r="L15" s="19">
        <f>SUM('R 2007'!L14+'TRT 2007'!L15)</f>
        <v>33283.659999999996</v>
      </c>
      <c r="M15" s="19">
        <f>SUM('R 2007'!M14+'TRT 2007'!M15)</f>
        <v>5958.75</v>
      </c>
      <c r="N15" s="81">
        <f t="shared" si="0"/>
        <v>154405.46000000002</v>
      </c>
      <c r="O15" s="19">
        <f>SUM('TOTAL 2006'!B15:L15)</f>
        <v>135568.47</v>
      </c>
      <c r="P15" s="84">
        <f t="shared" si="1"/>
        <v>0.138948163979427</v>
      </c>
      <c r="Q15" s="22">
        <f t="shared" si="2"/>
        <v>1.9650163174650863E-3</v>
      </c>
    </row>
    <row r="16" spans="1:17">
      <c r="A16" s="92" t="s">
        <v>28</v>
      </c>
      <c r="B16" s="19">
        <f>SUM('R 2007'!B15+'TRT 2007'!B16)</f>
        <v>20945.68</v>
      </c>
      <c r="C16" s="19">
        <f>SUM('R 2007'!C15+'TRT 2007'!C16)</f>
        <v>33878.93</v>
      </c>
      <c r="D16" s="19">
        <f>SUM('R 2007'!D15+'TRT 2007'!D16)</f>
        <v>8339.39</v>
      </c>
      <c r="E16" s="19">
        <f>SUM('R 2007'!E15+'TRT 2007'!E16)</f>
        <v>13821.85</v>
      </c>
      <c r="F16" s="19">
        <f>SUM('R 2007'!F15+'TRT 2007'!F16)</f>
        <v>35441.729999999996</v>
      </c>
      <c r="G16" s="19">
        <f>SUM('R 2007'!G15+'TRT 2007'!G16)</f>
        <v>44976.31</v>
      </c>
      <c r="H16" s="19">
        <f>SUM('R 2007'!H15+'TRT 2007'!H16)</f>
        <v>57663.29</v>
      </c>
      <c r="I16" s="19">
        <f>SUM('R 2007'!I15+'TRT 2007'!I16)</f>
        <v>136511.04000000001</v>
      </c>
      <c r="J16" s="19">
        <f>SUM('R 2007'!J15+'TRT 2007'!J16)</f>
        <v>85405.14</v>
      </c>
      <c r="K16" s="19">
        <f>SUM('R 2007'!K15+'TRT 2007'!K16)</f>
        <v>75584.94</v>
      </c>
      <c r="L16" s="19">
        <f>SUM('R 2007'!L15+'TRT 2007'!L16)</f>
        <v>137310.68</v>
      </c>
      <c r="M16" s="19">
        <f>SUM('R 2007'!M15+'TRT 2007'!M16)</f>
        <v>58442.909999999996</v>
      </c>
      <c r="N16" s="81">
        <f t="shared" si="0"/>
        <v>708321.89</v>
      </c>
      <c r="O16" s="19">
        <f>SUM('TOTAL 2006'!B16:L16)</f>
        <v>429655.77999999991</v>
      </c>
      <c r="P16" s="84">
        <f t="shared" si="1"/>
        <v>0.64857991669517445</v>
      </c>
      <c r="Q16" s="22">
        <f t="shared" si="2"/>
        <v>9.0143449063764328E-3</v>
      </c>
    </row>
    <row r="17" spans="1:17">
      <c r="A17" s="92" t="s">
        <v>52</v>
      </c>
      <c r="B17" s="19">
        <f>'TRT 2007'!B17</f>
        <v>3286.03</v>
      </c>
      <c r="C17" s="19">
        <f>'TRT 2007'!C17</f>
        <v>3795.49</v>
      </c>
      <c r="D17" s="19">
        <f>'TRT 2007'!D17</f>
        <v>0</v>
      </c>
      <c r="E17" s="19">
        <f>'TRT 2007'!E17</f>
        <v>3124.94</v>
      </c>
      <c r="F17" s="19">
        <f>'TRT 2007'!F17</f>
        <v>10318.66</v>
      </c>
      <c r="G17" s="19">
        <f>'TRT 2007'!G17</f>
        <v>7011.95</v>
      </c>
      <c r="H17" s="19">
        <f>'TRT 2007'!H17</f>
        <v>2235.6</v>
      </c>
      <c r="I17" s="19">
        <f>'TRT 2007'!I17</f>
        <v>22134.48</v>
      </c>
      <c r="J17" s="19">
        <f>'TRT 2007'!J17</f>
        <v>3566.91</v>
      </c>
      <c r="K17" s="19">
        <f>'TRT 2007'!K17</f>
        <v>8243.1</v>
      </c>
      <c r="L17" s="19">
        <f>'TRT 2007'!L17</f>
        <v>23721.05</v>
      </c>
      <c r="M17" s="19">
        <f>'TRT 2007'!M17</f>
        <v>4414.07</v>
      </c>
      <c r="N17" s="81">
        <f t="shared" si="0"/>
        <v>91852.28</v>
      </c>
      <c r="O17" s="19">
        <f>SUM('TOTAL 2006'!B17:L17)</f>
        <v>90464.950000000012</v>
      </c>
      <c r="P17" s="84">
        <f t="shared" si="1"/>
        <v>1.5335552609049063E-2</v>
      </c>
      <c r="Q17" s="22">
        <f t="shared" si="2"/>
        <v>1.1689433067740738E-3</v>
      </c>
    </row>
    <row r="18" spans="1:17">
      <c r="A18" s="92" t="s">
        <v>29</v>
      </c>
      <c r="B18" s="19">
        <f>SUM('R 2007'!B16+'CR 2007'!C7+'TRT 2007'!B18)</f>
        <v>1043.76</v>
      </c>
      <c r="C18" s="19">
        <f>SUM('R 2007'!C16+'CR 2007'!D7+'TRT 2007'!C18)</f>
        <v>3426.32</v>
      </c>
      <c r="D18" s="19">
        <f>SUM('R 2007'!D16+'CR 2007'!E7+'TRT 2007'!D18)</f>
        <v>2910.47</v>
      </c>
      <c r="E18" s="19">
        <f>SUM('R 2007'!E16+'CR 2007'!F7+'TRT 2007'!E18)</f>
        <v>1846.1100000000001</v>
      </c>
      <c r="F18" s="19">
        <f>SUM('R 2007'!F16+'CR 2007'!G7+'TRT 2007'!F18)</f>
        <v>3085.2000000000003</v>
      </c>
      <c r="G18" s="19">
        <f>SUM('R 2007'!G16+'CR 2007'!H7+'TRT 2007'!G18)</f>
        <v>5656.85</v>
      </c>
      <c r="H18" s="19">
        <f>SUM('R 2007'!H16+'CR 2007'!I7+'TRT 2007'!H18)</f>
        <v>1146.67</v>
      </c>
      <c r="I18" s="19">
        <f>SUM('R 2007'!I16+'CR 2007'!J7+'TRT 2007'!I18)</f>
        <v>5178.22</v>
      </c>
      <c r="J18" s="19">
        <f>SUM('R 2007'!J16+'CR 2007'!K7+'TRT 2007'!J18)</f>
        <v>7243.9400000000005</v>
      </c>
      <c r="K18" s="19">
        <f>SUM('R 2007'!K16+'CR 2007'!L7+'TRT 2007'!K18)</f>
        <v>6984.21</v>
      </c>
      <c r="L18" s="19">
        <f>SUM('R 2007'!L16+'CR 2007'!M7+'TRT 2007'!L18)</f>
        <v>4882.920000000001</v>
      </c>
      <c r="M18" s="19">
        <f>SUM('R 2007'!M16+'CR 2007'!N7+'TRT 2007'!M18)</f>
        <v>2669.16</v>
      </c>
      <c r="N18" s="81">
        <f t="shared" si="0"/>
        <v>46073.83</v>
      </c>
      <c r="O18" s="19">
        <f>SUM('TOTAL 2006'!B18:L18)</f>
        <v>40440.229999999996</v>
      </c>
      <c r="P18" s="84">
        <f t="shared" si="1"/>
        <v>0.13930682392261384</v>
      </c>
      <c r="Q18" s="22">
        <f t="shared" si="2"/>
        <v>5.8635120648008437E-4</v>
      </c>
    </row>
    <row r="19" spans="1:17">
      <c r="A19" s="92" t="s">
        <v>53</v>
      </c>
      <c r="B19" s="19">
        <f>'TRT 2007'!B19</f>
        <v>424.85</v>
      </c>
      <c r="C19" s="19">
        <f>'TRT 2007'!C19</f>
        <v>1686.3</v>
      </c>
      <c r="D19" s="19">
        <f>'TRT 2007'!D19</f>
        <v>2.4700000000000002</v>
      </c>
      <c r="E19" s="19">
        <f>'TRT 2007'!E19</f>
        <v>260.25</v>
      </c>
      <c r="F19" s="19">
        <f>'TRT 2007'!F19</f>
        <v>624.04999999999995</v>
      </c>
      <c r="G19" s="19">
        <f>'TRT 2007'!G19</f>
        <v>508.18</v>
      </c>
      <c r="H19" s="19">
        <f>'TRT 2007'!H19</f>
        <v>169.5</v>
      </c>
      <c r="I19" s="19">
        <f>'TRT 2007'!I19</f>
        <v>4034.86</v>
      </c>
      <c r="J19" s="19">
        <f>'TRT 2007'!J19</f>
        <v>1082.9100000000001</v>
      </c>
      <c r="K19" s="19">
        <f>'TRT 2007'!K19</f>
        <v>452.97</v>
      </c>
      <c r="L19" s="19">
        <f>'TRT 2007'!L19</f>
        <v>4958.1899999999996</v>
      </c>
      <c r="M19" s="19">
        <f>'TRT 2007'!M19</f>
        <v>32.979999999999997</v>
      </c>
      <c r="N19" s="81">
        <f t="shared" si="0"/>
        <v>14237.509999999998</v>
      </c>
      <c r="O19" s="19">
        <f>SUM('TOTAL 2006'!B19:L19)</f>
        <v>13028.43</v>
      </c>
      <c r="P19" s="84">
        <f t="shared" si="1"/>
        <v>9.2803200385618068E-2</v>
      </c>
      <c r="Q19" s="22">
        <f t="shared" si="2"/>
        <v>1.8119138707965596E-4</v>
      </c>
    </row>
    <row r="20" spans="1:17">
      <c r="A20" s="92" t="s">
        <v>30</v>
      </c>
      <c r="B20" s="19">
        <f>SUM('R 2007'!B18+'TRT 2007'!B20)</f>
        <v>1967.53</v>
      </c>
      <c r="C20" s="19">
        <f>SUM('R 2007'!C18+'TRT 2007'!C20)</f>
        <v>8102.61</v>
      </c>
      <c r="D20" s="19">
        <f>SUM('R 2007'!D18+'TRT 2007'!D20)</f>
        <v>1634.67</v>
      </c>
      <c r="E20" s="19">
        <f>SUM('R 2007'!E18+'TRT 2007'!E20)</f>
        <v>2952.74</v>
      </c>
      <c r="F20" s="19">
        <f>SUM('R 2007'!F18+'TRT 2007'!F20)</f>
        <v>5726.99</v>
      </c>
      <c r="G20" s="19">
        <f>SUM('R 2007'!G18+'TRT 2007'!G20)</f>
        <v>5396.2300000000005</v>
      </c>
      <c r="H20" s="19">
        <f>SUM('R 2007'!H18+'TRT 2007'!H20)</f>
        <v>10751.43</v>
      </c>
      <c r="I20" s="19">
        <f>SUM('R 2007'!I18+'TRT 2007'!I20)</f>
        <v>16598.98</v>
      </c>
      <c r="J20" s="19">
        <f>SUM('R 2007'!J18+'TRT 2007'!J20)</f>
        <v>14782.27</v>
      </c>
      <c r="K20" s="19">
        <f>SUM('R 2007'!K18+'TRT 2007'!K20)</f>
        <v>47837.19</v>
      </c>
      <c r="L20" s="19">
        <f>SUM('R 2007'!L18+'TRT 2007'!L20)</f>
        <v>20391.669999999998</v>
      </c>
      <c r="M20" s="19">
        <f>SUM('R 2007'!M18+'TRT 2007'!M20)</f>
        <v>1903.04</v>
      </c>
      <c r="N20" s="81">
        <f t="shared" si="0"/>
        <v>138045.35</v>
      </c>
      <c r="O20" s="19">
        <f>SUM('TOTAL 2006'!B20:L20)</f>
        <v>64675.57</v>
      </c>
      <c r="P20" s="84">
        <f t="shared" si="1"/>
        <v>1.1344280382840073</v>
      </c>
      <c r="Q20" s="22">
        <f t="shared" si="2"/>
        <v>1.756812001986063E-3</v>
      </c>
    </row>
    <row r="21" spans="1:17">
      <c r="A21" s="92" t="s">
        <v>31</v>
      </c>
      <c r="B21" s="19">
        <f>SUM('R 2007'!B19+'CR 2007'!C8+'TRT 2007'!B39+'TRT 2007'!B21+'TRT 2007'!B47)</f>
        <v>2722654.81</v>
      </c>
      <c r="C21" s="19">
        <f>SUM('R 2007'!C19+'CR 2007'!D8+'TRT 2007'!C39+'TRT 2007'!C21+'TRT 2007'!C47)</f>
        <v>3170780.5600000005</v>
      </c>
      <c r="D21" s="19">
        <f>SUM('R 2007'!D19+'CR 2007'!E8+'TRT 2007'!D39+'TRT 2007'!D21+'TRT 2007'!D47)</f>
        <v>3710885.63</v>
      </c>
      <c r="E21" s="19">
        <f>SUM('R 2007'!E19+'CR 2007'!F8+'TRT 2007'!E39+'TRT 2007'!E21+'TRT 2007'!E47)</f>
        <v>3706531.34</v>
      </c>
      <c r="F21" s="19">
        <f>SUM('R 2007'!F19+'CR 2007'!G8+'TRT 2007'!F39+'TRT 2007'!F21+'TRT 2007'!F47)</f>
        <v>4070048.0700000003</v>
      </c>
      <c r="G21" s="19">
        <f>SUM('R 2007'!G19+'CR 2007'!H8+'TRT 2007'!G39+'TRT 2007'!G21+'TRT 2007'!G47)</f>
        <v>3231108.79</v>
      </c>
      <c r="H21" s="19">
        <f>SUM('R 2007'!H19+'CR 2007'!I8+'TRT 2007'!H39+'TRT 2007'!H21+'TRT 2007'!H47)</f>
        <v>3695422.88</v>
      </c>
      <c r="I21" s="19">
        <f>SUM('R 2007'!I19+'CR 2007'!J8+'TRT 2007'!I39+'TRT 2007'!I21+'TRT 2007'!I47)</f>
        <v>3780166.02</v>
      </c>
      <c r="J21" s="19">
        <f>SUM('R 2007'!J19+'CR 2007'!K8+'TRT 2007'!J39+'TRT 2007'!J21+'TRT 2007'!J47)</f>
        <v>3307694.1900000004</v>
      </c>
      <c r="K21" s="19">
        <f>SUM('R 2007'!K19+'CR 2007'!L8+'TRT 2007'!K39+'TRT 2007'!K21+'TRT 2007'!K47)</f>
        <v>3861155.8399999999</v>
      </c>
      <c r="L21" s="19">
        <f>SUM('R 2007'!L19+'CR 2007'!M8+'TRT 2007'!L39+'TRT 2007'!L21+'TRT 2007'!L47)</f>
        <v>3847040.49</v>
      </c>
      <c r="M21" s="19">
        <f>SUM('R 2007'!M19+'CR 2007'!N8+'TRT 2007'!M39+'TRT 2007'!M21+'TRT 2007'!M47)</f>
        <v>2843978.4</v>
      </c>
      <c r="N21" s="81">
        <f t="shared" si="0"/>
        <v>41947467.019999996</v>
      </c>
      <c r="O21" s="19">
        <f>SUM('TOTAL 2006'!B21:L21)</f>
        <v>30851719.920000002</v>
      </c>
      <c r="P21" s="84">
        <f t="shared" si="1"/>
        <v>0.35964760242773508</v>
      </c>
      <c r="Q21" s="22">
        <f t="shared" si="2"/>
        <v>0.53383770995292879</v>
      </c>
    </row>
    <row r="22" spans="1:17">
      <c r="A22" s="92" t="s">
        <v>45</v>
      </c>
      <c r="B22" s="19">
        <f>'R 2007'!B20+'TRT 2007'!B22</f>
        <v>8862.7099999999991</v>
      </c>
      <c r="C22" s="19">
        <f>'R 2007'!C20+'TRT 2007'!C22</f>
        <v>24563.200000000001</v>
      </c>
      <c r="D22" s="19">
        <f>'R 2007'!D20+'TRT 2007'!D22</f>
        <v>1261.3900000000001</v>
      </c>
      <c r="E22" s="19">
        <f>'R 2007'!E20+'TRT 2007'!E22</f>
        <v>6397.15</v>
      </c>
      <c r="F22" s="19">
        <f>'R 2007'!F20+'TRT 2007'!F22</f>
        <v>19896.54</v>
      </c>
      <c r="G22" s="19">
        <f>'R 2007'!G20+'TRT 2007'!G22</f>
        <v>28235.31</v>
      </c>
      <c r="H22" s="19">
        <f>'R 2007'!H20+'TRT 2007'!H22</f>
        <v>30949.4</v>
      </c>
      <c r="I22" s="19">
        <f>'R 2007'!I20+'TRT 2007'!I22</f>
        <v>103598.16</v>
      </c>
      <c r="J22" s="19">
        <f>'R 2007'!J20+'TRT 2007'!J22</f>
        <v>32827.870000000003</v>
      </c>
      <c r="K22" s="19">
        <f>'R 2007'!K20+'TRT 2007'!K22</f>
        <v>21484.13</v>
      </c>
      <c r="L22" s="19">
        <f>'R 2007'!L20+'TRT 2007'!L22</f>
        <v>107198.14</v>
      </c>
      <c r="M22" s="19">
        <f>'R 2007'!M20+'TRT 2007'!M22</f>
        <v>28601.86</v>
      </c>
      <c r="N22" s="81">
        <f t="shared" si="0"/>
        <v>413875.86</v>
      </c>
      <c r="O22" s="19">
        <f>SUM('TOTAL 2006'!B22:L22)</f>
        <v>244790.98</v>
      </c>
      <c r="P22" s="84">
        <f t="shared" si="1"/>
        <v>0.69073166012898013</v>
      </c>
      <c r="Q22" s="22">
        <f t="shared" si="2"/>
        <v>5.2671247396620276E-3</v>
      </c>
    </row>
    <row r="23" spans="1:17">
      <c r="A23" s="92" t="s">
        <v>32</v>
      </c>
      <c r="B23" s="19">
        <f>'R 2007'!B21+'TRT 2007'!B23</f>
        <v>3769.6</v>
      </c>
      <c r="C23" s="19">
        <f>'R 2007'!C21+'TRT 2007'!C23</f>
        <v>26062.190000000002</v>
      </c>
      <c r="D23" s="19">
        <f>'R 2007'!D21+'TRT 2007'!D23</f>
        <v>5306.5</v>
      </c>
      <c r="E23" s="19">
        <f>'R 2007'!E21+'TRT 2007'!E23</f>
        <v>2467.17</v>
      </c>
      <c r="F23" s="19">
        <f>'R 2007'!F21+'TRT 2007'!F23</f>
        <v>22878.33</v>
      </c>
      <c r="G23" s="19">
        <f>'R 2007'!G21+'TRT 2007'!G23</f>
        <v>10734.54</v>
      </c>
      <c r="H23" s="19">
        <f>'R 2007'!H21+'TRT 2007'!H23</f>
        <v>1936.74</v>
      </c>
      <c r="I23" s="19">
        <f>'R 2007'!I21+'TRT 2007'!I23</f>
        <v>35213.01</v>
      </c>
      <c r="J23" s="19">
        <f>'R 2007'!J21+'TRT 2007'!J23</f>
        <v>2893.42</v>
      </c>
      <c r="K23" s="19">
        <f>'R 2007'!K21+'TRT 2007'!K23</f>
        <v>4262.62</v>
      </c>
      <c r="L23" s="19">
        <f>'R 2007'!L21+'TRT 2007'!L23</f>
        <v>29955.93</v>
      </c>
      <c r="M23" s="19">
        <f>'R 2007'!M21+'TRT 2007'!M23</f>
        <v>10708.259999999998</v>
      </c>
      <c r="N23" s="81">
        <f t="shared" si="0"/>
        <v>156188.31000000003</v>
      </c>
      <c r="O23" s="19">
        <f>SUM('TOTAL 2006'!B23:L23)</f>
        <v>110854.32000000002</v>
      </c>
      <c r="P23" s="84">
        <f t="shared" si="1"/>
        <v>0.40895104493897927</v>
      </c>
      <c r="Q23" s="22">
        <f t="shared" si="2"/>
        <v>1.987705471991051E-3</v>
      </c>
    </row>
    <row r="24" spans="1:17">
      <c r="A24" s="92" t="s">
        <v>33</v>
      </c>
      <c r="B24" s="19">
        <f>SUM('R 2007'!B22+'CR 2007'!C9+'TRT 2007'!B24)</f>
        <v>20899.46</v>
      </c>
      <c r="C24" s="19">
        <f>SUM('R 2007'!C22+'CR 2007'!D9+'TRT 2007'!C24)</f>
        <v>45530.69</v>
      </c>
      <c r="D24" s="19">
        <f>SUM('R 2007'!D22+'CR 2007'!E9+'TRT 2007'!D24)</f>
        <v>20689.34</v>
      </c>
      <c r="E24" s="19">
        <f>SUM('R 2007'!E22+'CR 2007'!F9+'TRT 2007'!E24)</f>
        <v>15556.849999999999</v>
      </c>
      <c r="F24" s="19">
        <f>SUM('R 2007'!F22+'CR 2007'!G9+'TRT 2007'!F24)</f>
        <v>30198.95</v>
      </c>
      <c r="G24" s="19">
        <f>SUM('R 2007'!G22+'CR 2007'!H9+'TRT 2007'!G24)</f>
        <v>36249.79</v>
      </c>
      <c r="H24" s="19">
        <f>SUM('R 2007'!H22+'CR 2007'!I9+'TRT 2007'!H24)</f>
        <v>41299.65</v>
      </c>
      <c r="I24" s="19">
        <f>SUM('R 2007'!I22+'CR 2007'!J9+'TRT 2007'!I24)</f>
        <v>70992.55</v>
      </c>
      <c r="J24" s="19">
        <f>SUM('R 2007'!J22+'CR 2007'!K9+'TRT 2007'!J24)</f>
        <v>42809.760000000002</v>
      </c>
      <c r="K24" s="19">
        <f>SUM('R 2007'!K22+'CR 2007'!L9+'TRT 2007'!K24)</f>
        <v>35434.04</v>
      </c>
      <c r="L24" s="19">
        <f>SUM('R 2007'!L22+'CR 2007'!M9+'TRT 2007'!L24)</f>
        <v>84146.65</v>
      </c>
      <c r="M24" s="19">
        <f>SUM('R 2007'!M22+'CR 2007'!N9+'TRT 2007'!M24)</f>
        <v>28403.260000000002</v>
      </c>
      <c r="N24" s="81">
        <f t="shared" si="0"/>
        <v>472210.99</v>
      </c>
      <c r="O24" s="19">
        <f>SUM('TOTAL 2006'!B24:L24)</f>
        <v>390342.03</v>
      </c>
      <c r="P24" s="84">
        <f t="shared" si="1"/>
        <v>0.2097364713710177</v>
      </c>
      <c r="Q24" s="22">
        <f t="shared" si="2"/>
        <v>6.0095174136739898E-3</v>
      </c>
    </row>
    <row r="25" spans="1:17">
      <c r="A25" s="92" t="s">
        <v>34</v>
      </c>
      <c r="B25" s="19">
        <f>SUM('R 2007'!B23+'TRT 2007'!B25)</f>
        <v>157491.34000000003</v>
      </c>
      <c r="C25" s="19">
        <f>SUM('R 2007'!C23+'TRT 2007'!C25)</f>
        <v>905312.04999999993</v>
      </c>
      <c r="D25" s="19">
        <f>SUM('R 2007'!D23+'TRT 2007'!D25)</f>
        <v>1057290.8199999998</v>
      </c>
      <c r="E25" s="19">
        <f>SUM('R 2007'!E23+'TRT 2007'!E25)</f>
        <v>1253778.7599999998</v>
      </c>
      <c r="F25" s="19">
        <f>SUM('R 2007'!F23+'TRT 2007'!F25)</f>
        <v>1275553.83</v>
      </c>
      <c r="G25" s="19">
        <f>SUM('R 2007'!G23+'TRT 2007'!G25)</f>
        <v>163263.37</v>
      </c>
      <c r="H25" s="19">
        <f>SUM('R 2007'!H23+'TRT 2007'!H25)</f>
        <v>181043.44</v>
      </c>
      <c r="I25" s="19">
        <f>SUM('R 2007'!I23+'TRT 2007'!I25)</f>
        <v>298495.03999999998</v>
      </c>
      <c r="J25" s="19">
        <f>SUM('R 2007'!J23+'TRT 2007'!J25)</f>
        <v>292440.21999999997</v>
      </c>
      <c r="K25" s="19">
        <f>SUM('R 2007'!K23+'TRT 2007'!K25)</f>
        <v>341529.52</v>
      </c>
      <c r="L25" s="19">
        <f>SUM('R 2007'!L23+'TRT 2007'!L25)</f>
        <v>596348.12</v>
      </c>
      <c r="M25" s="19">
        <f>SUM('R 2007'!M23+'TRT 2007'!M25)</f>
        <v>140299.16</v>
      </c>
      <c r="N25" s="81">
        <f t="shared" si="0"/>
        <v>6662845.6700000009</v>
      </c>
      <c r="O25" s="19">
        <f>SUM('TOTAL 2006'!B25:L25)</f>
        <v>5936670.8799999999</v>
      </c>
      <c r="P25" s="84">
        <f t="shared" si="1"/>
        <v>0.12232020347403871</v>
      </c>
      <c r="Q25" s="22">
        <f t="shared" si="2"/>
        <v>8.4793636587084401E-2</v>
      </c>
    </row>
    <row r="26" spans="1:17">
      <c r="A26" s="92" t="s">
        <v>35</v>
      </c>
      <c r="B26" s="19">
        <f>SUM('R 2007'!B24+'TRT 2007'!B26)</f>
        <v>30044.920000000002</v>
      </c>
      <c r="C26" s="19">
        <f>SUM('R 2007'!C24+'TRT 2007'!C26)</f>
        <v>54916.03</v>
      </c>
      <c r="D26" s="19">
        <f>SUM('R 2007'!D24+'TRT 2007'!D26)</f>
        <v>30991.59</v>
      </c>
      <c r="E26" s="19">
        <f>SUM('R 2007'!E24+'TRT 2007'!E26)</f>
        <v>41228.39</v>
      </c>
      <c r="F26" s="19">
        <f>SUM('R 2007'!F24+'TRT 2007'!F26)</f>
        <v>62818.41</v>
      </c>
      <c r="G26" s="19">
        <f>SUM('R 2007'!G24+'TRT 2007'!G26)</f>
        <v>40097.78</v>
      </c>
      <c r="H26" s="19">
        <f>SUM('R 2007'!H24+'TRT 2007'!H26)</f>
        <v>55633.06</v>
      </c>
      <c r="I26" s="19">
        <f>SUM('R 2007'!I24+'TRT 2007'!I26)</f>
        <v>80878.899999999994</v>
      </c>
      <c r="J26" s="19">
        <f>SUM('R 2007'!J24+'TRT 2007'!J26)</f>
        <v>53949.66</v>
      </c>
      <c r="K26" s="19">
        <f>SUM('R 2007'!K24+'TRT 2007'!K26)</f>
        <v>50878.729999999996</v>
      </c>
      <c r="L26" s="19">
        <f>SUM('R 2007'!L24+'TRT 2007'!L26)</f>
        <v>65379.179999999993</v>
      </c>
      <c r="M26" s="19">
        <f>SUM('R 2007'!M24+'TRT 2007'!M26)</f>
        <v>46024.66</v>
      </c>
      <c r="N26" s="81">
        <f t="shared" si="0"/>
        <v>612841.30999999994</v>
      </c>
      <c r="O26" s="19">
        <f>SUM('TOTAL 2006'!B26:L26)</f>
        <v>484713.28</v>
      </c>
      <c r="P26" s="84">
        <f t="shared" si="1"/>
        <v>0.26433777510696621</v>
      </c>
      <c r="Q26" s="22">
        <f t="shared" si="2"/>
        <v>7.799226621692518E-3</v>
      </c>
    </row>
    <row r="27" spans="1:17">
      <c r="A27" s="92" t="s">
        <v>36</v>
      </c>
      <c r="B27" s="19">
        <f>SUM('R 2007'!B25+'CR 2007'!C10+'TRT 2007'!B27)</f>
        <v>40825.18</v>
      </c>
      <c r="C27" s="19">
        <f>SUM('R 2007'!C25+'CR 2007'!D10+'TRT 2007'!C27)</f>
        <v>90320.06</v>
      </c>
      <c r="D27" s="19">
        <f>SUM('R 2007'!D25+'CR 2007'!E10+'TRT 2007'!D27)</f>
        <v>35339.199999999997</v>
      </c>
      <c r="E27" s="19">
        <f>SUM('R 2007'!E25+'CR 2007'!F10+'TRT 2007'!E27)</f>
        <v>42450.31</v>
      </c>
      <c r="F27" s="19">
        <f>SUM('R 2007'!F25+'CR 2007'!G10+'TRT 2007'!F27)</f>
        <v>86528.320000000007</v>
      </c>
      <c r="G27" s="19">
        <f>SUM('R 2007'!G25+'CR 2007'!H10+'TRT 2007'!G27)</f>
        <v>40697.480000000003</v>
      </c>
      <c r="H27" s="19">
        <f>SUM('R 2007'!H25+'CR 2007'!I10+'TRT 2007'!H27)</f>
        <v>57265.880000000005</v>
      </c>
      <c r="I27" s="19">
        <f>SUM('R 2007'!I25+'CR 2007'!J10+'TRT 2007'!I27)</f>
        <v>113919.54000000001</v>
      </c>
      <c r="J27" s="19">
        <f>SUM('R 2007'!J25+'CR 2007'!K10+'TRT 2007'!J27)</f>
        <v>77081.67</v>
      </c>
      <c r="K27" s="19">
        <f>SUM('R 2007'!K25+'CR 2007'!L10+'TRT 2007'!K27)</f>
        <v>65128.5</v>
      </c>
      <c r="L27" s="19">
        <f>SUM('R 2007'!L25+'CR 2007'!M10+'TRT 2007'!L27)</f>
        <v>100777.06</v>
      </c>
      <c r="M27" s="19">
        <f>SUM('R 2007'!M25+'CR 2007'!N10+'TRT 2007'!M27)</f>
        <v>89692.9</v>
      </c>
      <c r="N27" s="81">
        <f t="shared" si="0"/>
        <v>840026.1</v>
      </c>
      <c r="O27" s="19">
        <f>SUM('TOTAL 2006'!B27:L27)</f>
        <v>567324.05000000005</v>
      </c>
      <c r="P27" s="84">
        <f t="shared" si="1"/>
        <v>0.4806812790679329</v>
      </c>
      <c r="Q27" s="22">
        <f t="shared" si="2"/>
        <v>1.0690457407377681E-2</v>
      </c>
    </row>
    <row r="28" spans="1:17">
      <c r="A28" s="92" t="s">
        <v>37</v>
      </c>
      <c r="B28" s="19">
        <f>SUM('R 2007'!B26+'CR 2007'!C11+'TRT 2007'!B28)</f>
        <v>302097.56</v>
      </c>
      <c r="C28" s="19">
        <f>SUM('R 2007'!C26+'CR 2007'!D11+'TRT 2007'!C28)</f>
        <v>442743.79</v>
      </c>
      <c r="D28" s="19">
        <f>SUM('R 2007'!D26+'CR 2007'!E11+'TRT 2007'!D28)</f>
        <v>370893.79000000004</v>
      </c>
      <c r="E28" s="19">
        <f>SUM('R 2007'!E26+'CR 2007'!F11+'TRT 2007'!E28)</f>
        <v>370235.66000000003</v>
      </c>
      <c r="F28" s="19">
        <f>SUM('R 2007'!F26+'CR 2007'!G11+'TRT 2007'!F28)</f>
        <v>460450.82999999996</v>
      </c>
      <c r="G28" s="19">
        <f>SUM('R 2007'!G26+'CR 2007'!H11+'TRT 2007'!G28)</f>
        <v>539689.86</v>
      </c>
      <c r="H28" s="19">
        <f>SUM('R 2007'!H26+'CR 2007'!I11+'TRT 2007'!H28)</f>
        <v>583900.56000000006</v>
      </c>
      <c r="I28" s="19">
        <f>SUM('R 2007'!I26+'CR 2007'!J11+'TRT 2007'!I28)</f>
        <v>669826.87</v>
      </c>
      <c r="J28" s="19">
        <f>SUM('R 2007'!J26+'CR 2007'!K11+'TRT 2007'!J28)</f>
        <v>615047.53</v>
      </c>
      <c r="K28" s="19">
        <f>SUM('R 2007'!K26+'CR 2007'!L11+'TRT 2007'!K28)</f>
        <v>595945.82000000007</v>
      </c>
      <c r="L28" s="19">
        <f>SUM('R 2007'!L26+'CR 2007'!M11+'TRT 2007'!L28)</f>
        <v>694787.2</v>
      </c>
      <c r="M28" s="19">
        <f>SUM('R 2007'!M26+'CR 2007'!N11+'TRT 2007'!M28)</f>
        <v>459345.57</v>
      </c>
      <c r="N28" s="81">
        <f t="shared" si="0"/>
        <v>6104965.040000001</v>
      </c>
      <c r="O28" s="19">
        <f>SUM('TOTAL 2006'!B28:L28)</f>
        <v>4460208.1400000006</v>
      </c>
      <c r="P28" s="84">
        <f t="shared" si="1"/>
        <v>0.36876236452947242</v>
      </c>
      <c r="Q28" s="22">
        <f t="shared" si="2"/>
        <v>7.7693858242797204E-2</v>
      </c>
    </row>
    <row r="29" spans="1:17">
      <c r="A29" s="92" t="s">
        <v>38</v>
      </c>
      <c r="B29" s="19">
        <f>SUM('R 2007'!B27+'TRT 2007'!B29)</f>
        <v>23229.190000000002</v>
      </c>
      <c r="C29" s="19">
        <f>SUM('R 2007'!C27+'TRT 2007'!C29)</f>
        <v>96846.89</v>
      </c>
      <c r="D29" s="19">
        <f>SUM('R 2007'!D27+'TRT 2007'!D29)</f>
        <v>48231.590000000004</v>
      </c>
      <c r="E29" s="19">
        <f>SUM('R 2007'!E27+'TRT 2007'!E29)</f>
        <v>36160.910000000003</v>
      </c>
      <c r="F29" s="19">
        <f>SUM('R 2007'!F27+'TRT 2007'!F29)</f>
        <v>107440.32000000001</v>
      </c>
      <c r="G29" s="19">
        <f>SUM('R 2007'!G27+'TRT 2007'!G29)</f>
        <v>34720.74</v>
      </c>
      <c r="H29" s="19">
        <f>SUM('R 2007'!H27+'TRT 2007'!H29)</f>
        <v>45492.509999999995</v>
      </c>
      <c r="I29" s="19">
        <f>SUM('R 2007'!I27+'TRT 2007'!I29)</f>
        <v>112332.98</v>
      </c>
      <c r="J29" s="19">
        <f>SUM('R 2007'!J27+'TRT 2007'!J29)</f>
        <v>100242.81999999999</v>
      </c>
      <c r="K29" s="19">
        <f>SUM('R 2007'!K27+'TRT 2007'!K29)</f>
        <v>82684.010000000009</v>
      </c>
      <c r="L29" s="19">
        <f>SUM('R 2007'!L27+'TRT 2007'!L29)</f>
        <v>85243.36</v>
      </c>
      <c r="M29" s="19">
        <f>SUM('R 2007'!M27+'TRT 2007'!M29)</f>
        <v>57502.89</v>
      </c>
      <c r="N29" s="81">
        <f t="shared" si="0"/>
        <v>830128.21</v>
      </c>
      <c r="O29" s="19">
        <f>SUM('TOTAL 2006'!B29:L29)</f>
        <v>551293.59</v>
      </c>
      <c r="P29" s="84">
        <f t="shared" si="1"/>
        <v>0.5057824452484565</v>
      </c>
      <c r="Q29" s="22">
        <f t="shared" si="2"/>
        <v>1.0564493498080208E-2</v>
      </c>
    </row>
    <row r="30" spans="1:17">
      <c r="A30" s="92" t="s">
        <v>39</v>
      </c>
      <c r="B30" s="19">
        <f>SUM('R 2007'!B28+'CR 2007'!C12+'TRT 2007'!B30)</f>
        <v>212685.28</v>
      </c>
      <c r="C30" s="19">
        <f>SUM('R 2007'!C28+'CR 2007'!D12+'TRT 2007'!C30)</f>
        <v>343089.27</v>
      </c>
      <c r="D30" s="19">
        <f>SUM('R 2007'!D28+'CR 2007'!E12+'TRT 2007'!D30)</f>
        <v>201795.20000000001</v>
      </c>
      <c r="E30" s="19">
        <f>SUM('R 2007'!E28+'CR 2007'!F12+'TRT 2007'!E30)</f>
        <v>234461.19</v>
      </c>
      <c r="F30" s="19">
        <f>SUM('R 2007'!F28+'CR 2007'!G12+'TRT 2007'!F30)</f>
        <v>449441.17</v>
      </c>
      <c r="G30" s="19">
        <f>SUM('R 2007'!G28+'CR 2007'!H12+'TRT 2007'!G30)</f>
        <v>377647.54</v>
      </c>
      <c r="H30" s="19">
        <f>SUM('R 2007'!H28+'CR 2007'!I12+'TRT 2007'!H30)</f>
        <v>357702.79</v>
      </c>
      <c r="I30" s="19">
        <f>SUM('R 2007'!I28+'CR 2007'!J12+'TRT 2007'!I30)</f>
        <v>491288.55000000005</v>
      </c>
      <c r="J30" s="19">
        <f>SUM('R 2007'!J28+'CR 2007'!K12+'TRT 2007'!J30)</f>
        <v>451602.06999999995</v>
      </c>
      <c r="K30" s="19">
        <f>SUM('R 2007'!K28+'CR 2007'!L12+'TRT 2007'!K30)</f>
        <v>364405.04</v>
      </c>
      <c r="L30" s="19">
        <f>SUM('R 2007'!L28+'CR 2007'!M12+'TRT 2007'!L30)</f>
        <v>589558.88</v>
      </c>
      <c r="M30" s="19">
        <f>SUM('R 2007'!M28+'CR 2007'!N12+'TRT 2007'!M30)</f>
        <v>428301.47</v>
      </c>
      <c r="N30" s="81">
        <f t="shared" si="0"/>
        <v>4501978.45</v>
      </c>
      <c r="O30" s="19">
        <f>SUM('TOTAL 2006'!B30:L30)</f>
        <v>3507332.02</v>
      </c>
      <c r="P30" s="84">
        <f t="shared" si="1"/>
        <v>0.28359061084841364</v>
      </c>
      <c r="Q30" s="22">
        <f t="shared" si="2"/>
        <v>5.7293706551090728E-2</v>
      </c>
    </row>
    <row r="31" spans="1:17">
      <c r="A31" s="92" t="s">
        <v>40</v>
      </c>
      <c r="B31" s="19">
        <f>SUM('R 2007'!B29+'TRT 2007'!B31)</f>
        <v>2989.19</v>
      </c>
      <c r="C31" s="19">
        <f>SUM('R 2007'!C29+'TRT 2007'!C31)</f>
        <v>13331.14</v>
      </c>
      <c r="D31" s="19">
        <f>SUM('R 2007'!D29+'TRT 2007'!D31)</f>
        <v>473.14</v>
      </c>
      <c r="E31" s="19">
        <f>SUM('R 2007'!E29+'TRT 2007'!E31)</f>
        <v>1645.94</v>
      </c>
      <c r="F31" s="19">
        <f>SUM('R 2007'!F29+'TRT 2007'!F31)</f>
        <v>8367.9399999999987</v>
      </c>
      <c r="G31" s="19">
        <f>SUM('R 2007'!G29+'TRT 2007'!G31)</f>
        <v>8592.75</v>
      </c>
      <c r="H31" s="19">
        <f>SUM('R 2007'!H29+'TRT 2007'!H31)</f>
        <v>12062.81</v>
      </c>
      <c r="I31" s="19">
        <f>SUM('R 2007'!I29+'TRT 2007'!I31)</f>
        <v>53079.02</v>
      </c>
      <c r="J31" s="19">
        <f>SUM('R 2007'!J29+'TRT 2007'!J31)</f>
        <v>12447.36</v>
      </c>
      <c r="K31" s="19">
        <f>SUM('R 2007'!K29+'TRT 2007'!K31)</f>
        <v>11395.779999999999</v>
      </c>
      <c r="L31" s="19">
        <f>SUM('R 2007'!L29+'TRT 2007'!L31)</f>
        <v>66435.070000000007</v>
      </c>
      <c r="M31" s="19">
        <f>SUM('R 2007'!M29+'TRT 2007'!M31)</f>
        <v>8103.61</v>
      </c>
      <c r="N31" s="81">
        <f t="shared" si="0"/>
        <v>198923.75</v>
      </c>
      <c r="O31" s="19">
        <f>SUM('TOTAL 2006'!B31:L31)</f>
        <v>131794.89000000001</v>
      </c>
      <c r="P31" s="84">
        <f t="shared" si="1"/>
        <v>0.50934341991559751</v>
      </c>
      <c r="Q31" s="22">
        <f t="shared" si="2"/>
        <v>2.5315711936698703E-3</v>
      </c>
    </row>
    <row r="32" spans="1:17" ht="13" thickBot="1">
      <c r="A32" s="93" t="s">
        <v>41</v>
      </c>
      <c r="B32" s="20">
        <f>SUM('R 2007'!B30+'CR 2007'!C13+'TRT 2007'!B32)</f>
        <v>190575.12</v>
      </c>
      <c r="C32" s="20">
        <f>SUM('R 2007'!C30+'CR 2007'!D13+'TRT 2007'!C32)</f>
        <v>325132.59999999998</v>
      </c>
      <c r="D32" s="20">
        <f>SUM('R 2007'!D30+'CR 2007'!E13+'TRT 2007'!D32)</f>
        <v>210281.49000000002</v>
      </c>
      <c r="E32" s="20">
        <f>SUM('R 2007'!E30+'CR 2007'!F13+'TRT 2007'!E32)</f>
        <v>270030.5</v>
      </c>
      <c r="F32" s="20">
        <f>SUM('R 2007'!F30+'CR 2007'!G13+'TRT 2007'!F32)</f>
        <v>348035.77999999997</v>
      </c>
      <c r="G32" s="20">
        <f>SUM('R 2007'!G30+'CR 2007'!H13+'TRT 2007'!G32)</f>
        <v>262146.38</v>
      </c>
      <c r="H32" s="20">
        <f>SUM('R 2007'!H30+'CR 2007'!I13+'TRT 2007'!H32)</f>
        <v>273889.43</v>
      </c>
      <c r="I32" s="20">
        <f>SUM('R 2007'!I30+'CR 2007'!J13+'TRT 2007'!I32)</f>
        <v>390006.32999999996</v>
      </c>
      <c r="J32" s="20">
        <f>SUM('R 2007'!J30+'CR 2007'!K13+'TRT 2007'!J32)</f>
        <v>264568.64</v>
      </c>
      <c r="K32" s="20">
        <f>SUM('R 2007'!K30+'CR 2007'!L13+'TRT 2007'!K32)</f>
        <v>325060.12</v>
      </c>
      <c r="L32" s="20">
        <f>SUM('R 2007'!L30+'CR 2007'!M13+'TRT 2007'!L32)</f>
        <v>402090.31</v>
      </c>
      <c r="M32" s="20">
        <f>SUM('R 2007'!M30+'CR 2007'!N13+'TRT 2007'!M32)</f>
        <v>254875.56</v>
      </c>
      <c r="N32" s="82">
        <f t="shared" si="0"/>
        <v>3516692.2600000002</v>
      </c>
      <c r="O32" s="19">
        <f>SUM('TOTAL 2006'!B32:L32)</f>
        <v>2778873.74</v>
      </c>
      <c r="P32" s="85">
        <f t="shared" si="1"/>
        <v>0.2655099112203636</v>
      </c>
      <c r="Q32" s="21">
        <f t="shared" si="2"/>
        <v>4.4754619910482261E-2</v>
      </c>
    </row>
    <row r="33" spans="1:17" s="154" customFormat="1" ht="14" thickTop="1" thickBot="1">
      <c r="A33" s="162" t="s">
        <v>54</v>
      </c>
      <c r="B33" s="168">
        <f>SUM(B4:B32)</f>
        <v>4296135.5699999994</v>
      </c>
      <c r="C33" s="164">
        <f t="shared" ref="C33:M33" si="3">SUM(C4:C32)</f>
        <v>6444122.6599999992</v>
      </c>
      <c r="D33" s="163">
        <f t="shared" si="3"/>
        <v>6329087.9799999986</v>
      </c>
      <c r="E33" s="163">
        <f t="shared" si="3"/>
        <v>6667877.7699999996</v>
      </c>
      <c r="F33" s="163">
        <f t="shared" si="3"/>
        <v>8047207.3600000022</v>
      </c>
      <c r="G33" s="163">
        <f t="shared" si="3"/>
        <v>5793774.5100000007</v>
      </c>
      <c r="H33" s="165">
        <f t="shared" si="3"/>
        <v>6360243.0899999999</v>
      </c>
      <c r="I33" s="163">
        <f t="shared" si="3"/>
        <v>7813922.5000000009</v>
      </c>
      <c r="J33" s="163">
        <f t="shared" si="3"/>
        <v>6448576.2400000012</v>
      </c>
      <c r="K33" s="163">
        <f t="shared" si="3"/>
        <v>6972578.8600000003</v>
      </c>
      <c r="L33" s="163">
        <f t="shared" si="3"/>
        <v>8163762.209999999</v>
      </c>
      <c r="M33" s="166">
        <f t="shared" si="3"/>
        <v>5239900.9799999986</v>
      </c>
      <c r="N33" s="167">
        <f t="shared" si="0"/>
        <v>78577189.730000004</v>
      </c>
      <c r="O33" s="168">
        <f>SUM(O4:O32)</f>
        <v>59219163.300000012</v>
      </c>
      <c r="P33" s="169">
        <f>N33/O33-1</f>
        <v>0.3268878746552637</v>
      </c>
      <c r="Q33" s="170">
        <f t="shared" si="2"/>
        <v>1</v>
      </c>
    </row>
    <row r="34" spans="1:17">
      <c r="B34" s="28">
        <f>B33/'TOTAL 2006'!B33-1</f>
        <v>0.24391129413402601</v>
      </c>
      <c r="C34" s="28">
        <f>C33/'TOTAL 2006'!C33-1</f>
        <v>0.17414910187894361</v>
      </c>
      <c r="D34" s="28">
        <f>D33/'TOTAL 2006'!D33-1</f>
        <v>0.1508624565918677</v>
      </c>
      <c r="E34" s="28">
        <f>E33/'TOTAL 2006'!E33-1</f>
        <v>0.29860594764207993</v>
      </c>
      <c r="F34" s="28">
        <f>F33/'TOTAL 2006'!F33-1</f>
        <v>3.9548641910039262E-2</v>
      </c>
      <c r="G34" s="28">
        <f>G33/'TOTAL 2006'!G33-1</f>
        <v>0.18159010680748322</v>
      </c>
      <c r="H34" s="28">
        <f>H33/'TOTAL 2006'!H33-1</f>
        <v>0.63226607229815457</v>
      </c>
      <c r="I34" s="28">
        <f>I33/'TOTAL 2006'!I33-1</f>
        <v>0.21415668904658491</v>
      </c>
      <c r="J34" s="28">
        <f>J33/'TOTAL 2006'!J33-1</f>
        <v>0.3701972879308888</v>
      </c>
      <c r="K34" s="28">
        <f>K33/'TOTAL 2006'!K33-1</f>
        <v>0.28691680467005276</v>
      </c>
      <c r="L34" s="28">
        <f>L33/'TOTAL 2006'!L33-1</f>
        <v>0.24790358396517265</v>
      </c>
      <c r="M34" s="28">
        <f>M33/'TOTAL 2006'!M33-1</f>
        <v>-4.9086939661593387E-3</v>
      </c>
      <c r="N34" s="28"/>
    </row>
  </sheetData>
  <mergeCells count="1">
    <mergeCell ref="A1:Q1"/>
  </mergeCells>
  <phoneticPr fontId="0" type="noConversion"/>
  <pageMargins left="0" right="0" top="1" bottom="1" header="0.5" footer="0.5"/>
  <pageSetup scale="88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theme="1"/>
    <pageSetUpPr fitToPage="1"/>
  </sheetPr>
  <dimension ref="A1:Q38"/>
  <sheetViews>
    <sheetView workbookViewId="0">
      <selection activeCell="P43" sqref="P43"/>
    </sheetView>
  </sheetViews>
  <sheetFormatPr baseColWidth="10" defaultColWidth="8.83203125" defaultRowHeight="12" x14ac:dyDescent="0"/>
  <cols>
    <col min="6" max="6" width="11.1640625" bestFit="1" customWidth="1"/>
    <col min="14" max="15" width="9.5" bestFit="1" customWidth="1"/>
  </cols>
  <sheetData>
    <row r="1" spans="1:17" ht="21">
      <c r="A1" s="691" t="s">
        <v>83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</row>
    <row r="2" spans="1:17" ht="13" thickBot="1">
      <c r="A2" s="47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s="154" customFormat="1" ht="13" thickBot="1">
      <c r="A3" s="155" t="s">
        <v>42</v>
      </c>
      <c r="B3" s="156" t="s">
        <v>2</v>
      </c>
      <c r="C3" s="157" t="s">
        <v>3</v>
      </c>
      <c r="D3" s="156" t="s">
        <v>4</v>
      </c>
      <c r="E3" s="156" t="s">
        <v>5</v>
      </c>
      <c r="F3" s="156" t="s">
        <v>6</v>
      </c>
      <c r="G3" s="156" t="s">
        <v>7</v>
      </c>
      <c r="H3" s="156" t="s">
        <v>8</v>
      </c>
      <c r="I3" s="156" t="s">
        <v>9</v>
      </c>
      <c r="J3" s="156" t="s">
        <v>10</v>
      </c>
      <c r="K3" s="156" t="s">
        <v>11</v>
      </c>
      <c r="L3" s="156" t="s">
        <v>12</v>
      </c>
      <c r="M3" s="158" t="s">
        <v>13</v>
      </c>
      <c r="N3" s="159" t="s">
        <v>79</v>
      </c>
      <c r="O3" s="156" t="s">
        <v>74</v>
      </c>
      <c r="P3" s="160" t="s">
        <v>16</v>
      </c>
      <c r="Q3" s="161" t="s">
        <v>58</v>
      </c>
    </row>
    <row r="4" spans="1:17">
      <c r="A4" s="92" t="s">
        <v>17</v>
      </c>
      <c r="B4" s="36">
        <f>SUM('R 2006'!B4+'TRT 2006'!B4)</f>
        <v>12587.73</v>
      </c>
      <c r="C4" s="36">
        <f>SUM('R 2006'!C4+'TRT 2006'!C4)</f>
        <v>27575.360000000001</v>
      </c>
      <c r="D4" s="36">
        <f>SUM('R 2006'!D4+'TRT 2006'!D4)</f>
        <v>5048.59</v>
      </c>
      <c r="E4" s="36">
        <f>SUM('R 2006'!E4+'TRT 2006'!E4)</f>
        <v>4165.8999999999996</v>
      </c>
      <c r="F4" s="36">
        <f>SUM('R 2006'!F4+'TRT 2006'!F4)</f>
        <v>28586.42</v>
      </c>
      <c r="G4" s="36">
        <f>SUM('R 2006'!G4+'TRT 2006'!G4)</f>
        <v>5151.4500000000007</v>
      </c>
      <c r="H4" s="36">
        <f>SUM('R 2006'!H4+'TRT 2006'!H4)</f>
        <v>4547.66</v>
      </c>
      <c r="I4" s="36">
        <f>SUM('R 2006'!I4+'TRT 2006'!I4)</f>
        <v>39605.740000000005</v>
      </c>
      <c r="J4" s="36">
        <f>SUM('R 2006'!J4+'TRT 2006'!J4)</f>
        <v>8223.34</v>
      </c>
      <c r="K4" s="36">
        <f>SUM('R 2006'!K4+'TRT 2006'!K4)</f>
        <v>4919.46</v>
      </c>
      <c r="L4" s="36">
        <f>SUM('R 2006'!L4+'TRT 2006'!L4)</f>
        <v>45983.82</v>
      </c>
      <c r="M4" s="36">
        <f>SUM('R 2006'!M4+'TRT 2006'!M4)</f>
        <v>6176.66</v>
      </c>
      <c r="N4" s="81">
        <f t="shared" ref="N4:N33" si="0">SUM(B4:M4)</f>
        <v>192572.13</v>
      </c>
      <c r="O4" s="19">
        <f>SUM('TOTAL 2005'!B4:L4)</f>
        <v>163731.16000000003</v>
      </c>
      <c r="P4" s="84">
        <f t="shared" ref="P4:P33" si="1">N4/O4-1</f>
        <v>0.1761483275388751</v>
      </c>
      <c r="Q4" s="22">
        <f>N4/$N$33</f>
        <v>2.9863129736944984E-3</v>
      </c>
    </row>
    <row r="5" spans="1:17">
      <c r="A5" s="92" t="s">
        <v>18</v>
      </c>
      <c r="B5" s="19">
        <f>'R 2006'!B5+'TRT 2006'!B5</f>
        <v>27939.040000000001</v>
      </c>
      <c r="C5" s="19">
        <f>'R 2006'!C5+'TRT 2006'!C5</f>
        <v>40114.559999999998</v>
      </c>
      <c r="D5" s="19">
        <f>'R 2006'!D5+'TRT 2006'!D5</f>
        <v>26403.170000000002</v>
      </c>
      <c r="E5" s="19">
        <f>'R 2006'!E5+'TRT 2006'!E5</f>
        <v>20609.079999999998</v>
      </c>
      <c r="F5" s="19">
        <f>'R 2006'!F5+'TRT 2006'!F5</f>
        <v>44866.48</v>
      </c>
      <c r="G5" s="19">
        <f>'R 2006'!G5+'TRT 2006'!G5</f>
        <v>29880.79</v>
      </c>
      <c r="H5" s="19">
        <f>'R 2006'!H5+'TRT 2006'!H5</f>
        <v>31345.039999999997</v>
      </c>
      <c r="I5" s="19">
        <f>'R 2006'!I5+'TRT 2006'!I5</f>
        <v>55005.61</v>
      </c>
      <c r="J5" s="19">
        <f>'R 2006'!J5+'TRT 2006'!J5</f>
        <v>37238.5</v>
      </c>
      <c r="K5" s="19">
        <f>'R 2006'!K5+'TRT 2006'!K5</f>
        <v>26945.47</v>
      </c>
      <c r="L5" s="19">
        <f>'R 2006'!L5+'TRT 2006'!L5</f>
        <v>68310.33</v>
      </c>
      <c r="M5" s="19">
        <f>'R 2006'!M5+'TRT 2006'!M5</f>
        <v>34913.82</v>
      </c>
      <c r="N5" s="81">
        <f t="shared" si="0"/>
        <v>443571.89</v>
      </c>
      <c r="O5" s="19">
        <f>SUM('TOTAL 2005'!B5:L5)</f>
        <v>365005.28</v>
      </c>
      <c r="P5" s="84">
        <f t="shared" si="1"/>
        <v>0.21524787257871991</v>
      </c>
      <c r="Q5" s="22">
        <f t="shared" ref="Q5:Q33" si="2">N5/$N$33</f>
        <v>6.8786926222044117E-3</v>
      </c>
    </row>
    <row r="6" spans="1:17">
      <c r="A6" s="92" t="s">
        <v>19</v>
      </c>
      <c r="B6" s="19">
        <f>SUM('R 2006'!B6+'TRT 2006'!B6)</f>
        <v>64859.9</v>
      </c>
      <c r="C6" s="19">
        <f>SUM('R 2006'!C6+'TRT 2006'!C6)</f>
        <v>95070.28</v>
      </c>
      <c r="D6" s="19">
        <f>SUM('R 2006'!D6+'TRT 2006'!D6)</f>
        <v>70965.39</v>
      </c>
      <c r="E6" s="19">
        <f>SUM('R 2006'!E6+'TRT 2006'!E6)</f>
        <v>67109.649999999994</v>
      </c>
      <c r="F6" s="19">
        <f>SUM('R 2006'!F6+'TRT 2006'!F6)</f>
        <v>107994.40999999999</v>
      </c>
      <c r="G6" s="19">
        <f>SUM('R 2006'!G6+'TRT 2006'!G6)</f>
        <v>72374.41</v>
      </c>
      <c r="H6" s="19">
        <f>SUM('R 2006'!H6+'TRT 2006'!H6)</f>
        <v>78164.86</v>
      </c>
      <c r="I6" s="19">
        <f>SUM('R 2006'!I6+'TRT 2006'!I6)</f>
        <v>129382.91</v>
      </c>
      <c r="J6" s="19">
        <f>SUM('R 2006'!J6+'TRT 2006'!J6)</f>
        <v>101604.08</v>
      </c>
      <c r="K6" s="19">
        <f>SUM('R 2006'!K6+'TRT 2006'!K6)</f>
        <v>96132.799999999988</v>
      </c>
      <c r="L6" s="19">
        <f>SUM('R 2006'!L6+'TRT 2006'!L6)</f>
        <v>130547.14000000001</v>
      </c>
      <c r="M6" s="19">
        <f>SUM('R 2006'!M6+'TRT 2006'!M6)</f>
        <v>99070.59</v>
      </c>
      <c r="N6" s="81">
        <f t="shared" si="0"/>
        <v>1113276.42</v>
      </c>
      <c r="O6" s="19">
        <f>SUM('TOTAL 2005'!B6:L6)</f>
        <v>997418.58</v>
      </c>
      <c r="P6" s="84">
        <f t="shared" si="1"/>
        <v>0.11615769178873725</v>
      </c>
      <c r="Q6" s="22">
        <f t="shared" si="2"/>
        <v>1.7264137943295142E-2</v>
      </c>
    </row>
    <row r="7" spans="1:17">
      <c r="A7" s="92" t="s">
        <v>20</v>
      </c>
      <c r="B7" s="19">
        <f>SUM('R 2006'!B7+'TRT 2006'!B7)</f>
        <v>23809.69</v>
      </c>
      <c r="C7" s="19">
        <f>SUM('R 2006'!C7+'TRT 2006'!C7)</f>
        <v>38217.019999999997</v>
      </c>
      <c r="D7" s="19">
        <f>SUM('R 2006'!D7+'TRT 2006'!D7)</f>
        <v>35040.479999999996</v>
      </c>
      <c r="E7" s="19">
        <f>SUM('R 2006'!E7+'TRT 2006'!E7)</f>
        <v>15305.029999999999</v>
      </c>
      <c r="F7" s="19">
        <f>SUM('R 2006'!F7+'TRT 2006'!F7)</f>
        <v>38768.910000000003</v>
      </c>
      <c r="G7" s="19">
        <f>SUM('R 2006'!G7+'TRT 2006'!G7)</f>
        <v>30567.81</v>
      </c>
      <c r="H7" s="19">
        <f>SUM('R 2006'!H7+'TRT 2006'!H7)</f>
        <v>16506.509999999998</v>
      </c>
      <c r="I7" s="19">
        <f>SUM('R 2006'!I7+'TRT 2006'!I7)</f>
        <v>66345.039999999994</v>
      </c>
      <c r="J7" s="19">
        <f>SUM('R 2006'!J7+'TRT 2006'!J7)</f>
        <v>21381.309999999998</v>
      </c>
      <c r="K7" s="19">
        <f>SUM('R 2006'!K7+'TRT 2006'!K7)</f>
        <v>38694.57</v>
      </c>
      <c r="L7" s="19">
        <f>SUM('R 2006'!L7+'TRT 2006'!L7)</f>
        <v>55545.19</v>
      </c>
      <c r="M7" s="19">
        <f>SUM('R 2006'!M7+'TRT 2006'!M7)</f>
        <v>29715.89</v>
      </c>
      <c r="N7" s="81">
        <f t="shared" si="0"/>
        <v>409897.45</v>
      </c>
      <c r="O7" s="19">
        <f>SUM('TOTAL 2005'!B7:L7)</f>
        <v>300073.55</v>
      </c>
      <c r="P7" s="84">
        <f t="shared" si="1"/>
        <v>0.365989938133501</v>
      </c>
      <c r="Q7" s="22">
        <f t="shared" si="2"/>
        <v>6.3564861271425514E-3</v>
      </c>
    </row>
    <row r="8" spans="1:17">
      <c r="A8" s="92" t="s">
        <v>21</v>
      </c>
      <c r="B8" s="19">
        <f>SUM('R 2006'!B8+'TRT 2006'!B8)</f>
        <v>975.08</v>
      </c>
      <c r="C8" s="19">
        <f>SUM('R 2006'!C8+'TRT 2006'!C8)</f>
        <v>1776.41</v>
      </c>
      <c r="D8" s="19">
        <f>SUM('R 2006'!D8+'TRT 2006'!D8)</f>
        <v>4987.4400000000005</v>
      </c>
      <c r="E8" s="19">
        <f>SUM('R 2006'!E8+'TRT 2006'!E8)</f>
        <v>2058.9299999999998</v>
      </c>
      <c r="F8" s="19">
        <f>SUM('R 2006'!F8+'TRT 2006'!F8)</f>
        <v>4325.83</v>
      </c>
      <c r="G8" s="19">
        <f>SUM('R 2006'!G8+'TRT 2006'!G8)</f>
        <v>5407.16</v>
      </c>
      <c r="H8" s="19">
        <f>SUM('R 2006'!H8+'TRT 2006'!H8)</f>
        <v>6365.18</v>
      </c>
      <c r="I8" s="19">
        <f>SUM('R 2006'!I8+'TRT 2006'!I8)</f>
        <v>14462.060000000001</v>
      </c>
      <c r="J8" s="19">
        <f>SUM('R 2006'!J8+'TRT 2006'!J8)</f>
        <v>10749.58</v>
      </c>
      <c r="K8" s="19">
        <f>SUM('R 2006'!K8+'TRT 2006'!K8)</f>
        <v>7930.04</v>
      </c>
      <c r="L8" s="19">
        <f>SUM('R 2006'!L8+'TRT 2006'!L8)</f>
        <v>13325.26</v>
      </c>
      <c r="M8" s="19">
        <f>SUM('R 2006'!M8+'TRT 2006'!M8)</f>
        <v>5669.15</v>
      </c>
      <c r="N8" s="81">
        <f t="shared" si="0"/>
        <v>78032.12</v>
      </c>
      <c r="O8" s="19">
        <f>SUM('TOTAL 2005'!B8:L8)</f>
        <v>81485.72</v>
      </c>
      <c r="P8" s="84">
        <f t="shared" si="1"/>
        <v>-4.2382886228409133E-2</v>
      </c>
      <c r="Q8" s="22">
        <f t="shared" si="2"/>
        <v>1.2100833714665041E-3</v>
      </c>
    </row>
    <row r="9" spans="1:17">
      <c r="A9" s="92" t="s">
        <v>22</v>
      </c>
      <c r="B9" s="19">
        <f>SUM('R 2006'!B9+'CR 2006'!C4+'TRT 2006'!B9)</f>
        <v>198535.16999999998</v>
      </c>
      <c r="C9" s="19">
        <f>SUM('R 2006'!C9+'CR 2006'!D4+'TRT 2006'!C9)</f>
        <v>300259.42</v>
      </c>
      <c r="D9" s="19">
        <f>SUM('R 2006'!D9+'CR 2006'!E4+'TRT 2006'!D9)</f>
        <v>212145.41999999998</v>
      </c>
      <c r="E9" s="19">
        <f>SUM('R 2006'!E9+'CR 2006'!F4+'TRT 2006'!E9)</f>
        <v>221707.64</v>
      </c>
      <c r="F9" s="19">
        <f>SUM('R 2006'!F9+'CR 2006'!G4+'TRT 2006'!F9)</f>
        <v>364706.2</v>
      </c>
      <c r="G9" s="19">
        <f>SUM('R 2006'!G9+'CR 2006'!H4+'TRT 2006'!G9)</f>
        <v>242118.66999999998</v>
      </c>
      <c r="H9" s="19">
        <f>SUM('R 2006'!H9+'CR 2006'!I4+'TRT 2006'!H9)</f>
        <v>252628.91999999998</v>
      </c>
      <c r="I9" s="19">
        <f>SUM('R 2006'!I9+'CR 2006'!J4+'TRT 2006'!I9)</f>
        <v>389540.62999999995</v>
      </c>
      <c r="J9" s="19">
        <f>SUM('R 2006'!J9+'CR 2006'!K4+'TRT 2006'!J9)</f>
        <v>314621.83</v>
      </c>
      <c r="K9" s="19">
        <f>SUM('R 2006'!K9+'CR 2006'!L4+'TRT 2006'!K9)</f>
        <v>285238.37</v>
      </c>
      <c r="L9" s="19">
        <f>SUM('R 2006'!L9+'CR 2006'!M4+'TRT 2006'!L9)</f>
        <v>352645.33</v>
      </c>
      <c r="M9" s="19">
        <f>SUM('R 2006'!M9+'CR 2006'!N4+'TRT 2006'!M9)</f>
        <v>293314.96999999997</v>
      </c>
      <c r="N9" s="81">
        <f t="shared" si="0"/>
        <v>3427462.5700000003</v>
      </c>
      <c r="O9" s="19">
        <f>SUM('TOTAL 2005'!B9:L9)</f>
        <v>2749762.8</v>
      </c>
      <c r="P9" s="84">
        <f t="shared" si="1"/>
        <v>0.24645753808292148</v>
      </c>
      <c r="Q9" s="22">
        <f t="shared" si="2"/>
        <v>5.315138768856785E-2</v>
      </c>
    </row>
    <row r="10" spans="1:17">
      <c r="A10" s="92" t="s">
        <v>23</v>
      </c>
      <c r="B10" s="19">
        <f>SUM('R 2006'!B10+'TRT 2006'!B10)</f>
        <v>10315.75</v>
      </c>
      <c r="C10" s="19">
        <f>SUM('R 2006'!C10+'TRT 2006'!C10)</f>
        <v>11911.37</v>
      </c>
      <c r="D10" s="19">
        <f>SUM('R 2006'!D10+'TRT 2006'!D10)</f>
        <v>8018.81</v>
      </c>
      <c r="E10" s="19">
        <f>SUM('R 2006'!E10+'TRT 2006'!E10)</f>
        <v>7183.5</v>
      </c>
      <c r="F10" s="19">
        <f>SUM('R 2006'!F10+'TRT 2006'!F10)</f>
        <v>18558.46</v>
      </c>
      <c r="G10" s="19">
        <f>SUM('R 2006'!G10+'TRT 2006'!G10)</f>
        <v>15596.34</v>
      </c>
      <c r="H10" s="19">
        <f>SUM('R 2006'!H10+'TRT 2006'!H10)</f>
        <v>16817.989999999998</v>
      </c>
      <c r="I10" s="19">
        <f>SUM('R 2006'!I10+'TRT 2006'!I10)</f>
        <v>24670.690000000002</v>
      </c>
      <c r="J10" s="19">
        <f>SUM('R 2006'!J10+'TRT 2006'!J10)</f>
        <v>13030.279999999999</v>
      </c>
      <c r="K10" s="19">
        <f>SUM('R 2006'!K10+'TRT 2006'!K10)</f>
        <v>8361.9399999999987</v>
      </c>
      <c r="L10" s="19">
        <f>SUM('R 2006'!L10+'TRT 2006'!L10)</f>
        <v>18158.650000000001</v>
      </c>
      <c r="M10" s="19">
        <f>SUM('R 2006'!M10+'TRT 2006'!M10)</f>
        <v>9341.17</v>
      </c>
      <c r="N10" s="81">
        <f t="shared" si="0"/>
        <v>161964.95000000001</v>
      </c>
      <c r="O10" s="19">
        <f>SUM('TOTAL 2005'!B10:L10)</f>
        <v>124077.39</v>
      </c>
      <c r="P10" s="84">
        <f t="shared" si="1"/>
        <v>0.30535426317397563</v>
      </c>
      <c r="Q10" s="22">
        <f t="shared" si="2"/>
        <v>2.5116720237179737E-3</v>
      </c>
    </row>
    <row r="11" spans="1:17">
      <c r="A11" s="92" t="s">
        <v>51</v>
      </c>
      <c r="B11" s="19">
        <f>'TRT 2006'!B11</f>
        <v>2883</v>
      </c>
      <c r="C11" s="19">
        <f>'TRT 2006'!C11</f>
        <v>12756</v>
      </c>
      <c r="D11" s="19">
        <f>'TRT 2006'!D11</f>
        <v>2858</v>
      </c>
      <c r="E11" s="19">
        <f>'TRT 2006'!E11</f>
        <v>6924</v>
      </c>
      <c r="F11" s="19">
        <f>'TRT 2006'!F11</f>
        <v>7950</v>
      </c>
      <c r="G11" s="19">
        <f>'TRT 2006'!G11</f>
        <v>14693</v>
      </c>
      <c r="H11" s="19">
        <f>'TRT 2006'!H11</f>
        <v>27718</v>
      </c>
      <c r="I11" s="19">
        <f>'TRT 2006'!I11</f>
        <v>25038</v>
      </c>
      <c r="J11" s="19">
        <f>'TRT 2006'!J11</f>
        <v>9800</v>
      </c>
      <c r="K11" s="19">
        <f>'TRT 2006'!K11</f>
        <v>30636</v>
      </c>
      <c r="L11" s="19">
        <f>'TRT 2006'!L11</f>
        <v>21984</v>
      </c>
      <c r="M11" s="19">
        <f>'TRT 2006'!M11</f>
        <v>4475.38</v>
      </c>
      <c r="N11" s="81">
        <f t="shared" si="0"/>
        <v>167715.38</v>
      </c>
      <c r="O11" s="19">
        <f>SUM('TOTAL 2005'!B11:L11)</f>
        <v>161852.26</v>
      </c>
      <c r="P11" s="84">
        <f t="shared" si="1"/>
        <v>3.6225135194281499E-2</v>
      </c>
      <c r="Q11" s="22">
        <f t="shared" si="2"/>
        <v>2.6008468368818624E-3</v>
      </c>
    </row>
    <row r="12" spans="1:17">
      <c r="A12" s="92" t="s">
        <v>24</v>
      </c>
      <c r="B12" s="19">
        <f>SUM('R 2006'!B11+'TRT 2006'!B12)</f>
        <v>20880.93</v>
      </c>
      <c r="C12" s="19">
        <f>SUM('R 2006'!C11+'TRT 2006'!C12)</f>
        <v>22515.64</v>
      </c>
      <c r="D12" s="19">
        <f>SUM('R 2006'!D11+'TRT 2006'!D12)</f>
        <v>12387.07</v>
      </c>
      <c r="E12" s="19">
        <f>SUM('R 2006'!E11+'TRT 2006'!E12)</f>
        <v>8366.4599999999991</v>
      </c>
      <c r="F12" s="19">
        <f>SUM('R 2006'!F11+'TRT 2006'!F12)</f>
        <v>22343.02</v>
      </c>
      <c r="G12" s="19">
        <f>SUM('R 2006'!G11+'TRT 2006'!G12)</f>
        <v>48999.03</v>
      </c>
      <c r="H12" s="19">
        <f>SUM('R 2006'!H11+'TRT 2006'!H12)</f>
        <v>68757.100000000006</v>
      </c>
      <c r="I12" s="19">
        <f>SUM('R 2006'!I11+'TRT 2006'!I12)</f>
        <v>118834.93</v>
      </c>
      <c r="J12" s="19">
        <f>SUM('R 2006'!J11+'TRT 2006'!J12)</f>
        <v>76337.34</v>
      </c>
      <c r="K12" s="19">
        <f>SUM('R 2006'!K11+'TRT 2006'!K12)</f>
        <v>88433.8</v>
      </c>
      <c r="L12" s="19">
        <f>SUM('R 2006'!L11+'TRT 2006'!L12)</f>
        <v>167753.42000000001</v>
      </c>
      <c r="M12" s="19">
        <f>SUM('R 2006'!M11+'TRT 2006'!M12)</f>
        <v>63228.65</v>
      </c>
      <c r="N12" s="81">
        <f t="shared" si="0"/>
        <v>718837.39</v>
      </c>
      <c r="O12" s="19">
        <f>SUM('TOTAL 2005'!B12:L12)</f>
        <v>625847.02</v>
      </c>
      <c r="P12" s="84">
        <f t="shared" si="1"/>
        <v>0.14858322725575968</v>
      </c>
      <c r="Q12" s="22">
        <f t="shared" si="2"/>
        <v>1.1147373317902708E-2</v>
      </c>
    </row>
    <row r="13" spans="1:17">
      <c r="A13" s="92" t="s">
        <v>59</v>
      </c>
      <c r="B13" s="19">
        <f>SUM('R 2006'!B12+'CR 2006'!C6+'TRT 2006'!B13)</f>
        <v>53908.24</v>
      </c>
      <c r="C13" s="19">
        <f>SUM('R 2006'!C12+'CR 2006'!D6+'TRT 2006'!C13)</f>
        <v>58519.020000000004</v>
      </c>
      <c r="D13" s="19">
        <f>SUM('R 2006'!D12+'CR 2006'!E6+'TRT 2006'!D13)</f>
        <v>46658.33</v>
      </c>
      <c r="E13" s="19">
        <f>SUM('R 2006'!E12+'CR 2006'!F6+'TRT 2006'!E13)</f>
        <v>152087.66</v>
      </c>
      <c r="F13" s="19">
        <f>SUM('R 2006'!F12+'CR 2006'!G6+'TRT 2006'!F13)</f>
        <v>176229.46</v>
      </c>
      <c r="G13" s="19">
        <f>SUM('R 2006'!G12+'CR 2006'!H6+'TRT 2006'!G13)</f>
        <v>168496.86</v>
      </c>
      <c r="H13" s="19">
        <f>SUM('R 2006'!H12+'CR 2006'!I6+'TRT 2006'!H13)</f>
        <v>153508.03</v>
      </c>
      <c r="I13" s="19">
        <f>SUM('R 2006'!I12+'CR 2006'!J6+'TRT 2006'!I13)</f>
        <v>148893.54</v>
      </c>
      <c r="J13" s="19">
        <f>SUM('R 2006'!J12+'CR 2006'!K6+'TRT 2006'!J13)</f>
        <v>147111.32</v>
      </c>
      <c r="K13" s="19">
        <f>SUM('R 2006'!K12+'CR 2006'!L6+'TRT 2006'!K13)</f>
        <v>86171.41</v>
      </c>
      <c r="L13" s="19">
        <f>SUM('R 2006'!L12+'CR 2006'!M6+'TRT 2006'!L13)</f>
        <v>115092.48</v>
      </c>
      <c r="M13" s="19">
        <f>SUM('R 2006'!M12+'CR 2006'!N6+'TRT 2006'!M13)</f>
        <v>83952.08</v>
      </c>
      <c r="N13" s="81">
        <f t="shared" si="0"/>
        <v>1390628.43</v>
      </c>
      <c r="O13" s="19">
        <f>SUM('TOTAL 2005'!B13:L13)</f>
        <v>1187841.5899999999</v>
      </c>
      <c r="P13" s="84">
        <f t="shared" si="1"/>
        <v>0.17071875720398055</v>
      </c>
      <c r="Q13" s="22">
        <f t="shared" si="2"/>
        <v>2.156517520005315E-2</v>
      </c>
    </row>
    <row r="14" spans="1:17">
      <c r="A14" s="92" t="s">
        <v>26</v>
      </c>
      <c r="B14" s="19">
        <f>SUM('R 2006'!B13+'TRT 2006'!B14)</f>
        <v>45924.68</v>
      </c>
      <c r="C14" s="19">
        <f>SUM('R 2006'!C13+'TRT 2006'!C14)</f>
        <v>91623.13</v>
      </c>
      <c r="D14" s="19">
        <f>SUM('R 2006'!D13+'TRT 2006'!D14)</f>
        <v>52443.69</v>
      </c>
      <c r="E14" s="19">
        <f>SUM('R 2006'!E13+'TRT 2006'!E14)</f>
        <v>59008.27</v>
      </c>
      <c r="F14" s="19">
        <f>SUM('R 2006'!F13+'TRT 2006'!F14)</f>
        <v>117820.67</v>
      </c>
      <c r="G14" s="19">
        <f>SUM('R 2006'!G13+'TRT 2006'!G14)</f>
        <v>61461.19</v>
      </c>
      <c r="H14" s="19">
        <f>SUM('R 2006'!H13+'TRT 2006'!H14)</f>
        <v>59122</v>
      </c>
      <c r="I14" s="19">
        <f>SUM('R 2006'!I13+'TRT 2006'!I14)</f>
        <v>153316.76</v>
      </c>
      <c r="J14" s="19">
        <f>SUM('R 2006'!J13+'TRT 2006'!J14)</f>
        <v>84459.790000000008</v>
      </c>
      <c r="K14" s="19">
        <f>SUM('R 2006'!K13+'TRT 2006'!K14)</f>
        <v>77141.55</v>
      </c>
      <c r="L14" s="19">
        <f>SUM('R 2006'!L13+'TRT 2006'!L14)</f>
        <v>152989.93</v>
      </c>
      <c r="M14" s="19">
        <f>SUM('R 2006'!M13+'TRT 2006'!M14)</f>
        <v>59089.130000000005</v>
      </c>
      <c r="N14" s="81">
        <f t="shared" si="0"/>
        <v>1014400.7900000002</v>
      </c>
      <c r="O14" s="19">
        <f>SUM('TOTAL 2005'!B14:L14)</f>
        <v>883561.13000000012</v>
      </c>
      <c r="P14" s="84">
        <f t="shared" si="1"/>
        <v>0.1480821819312037</v>
      </c>
      <c r="Q14" s="22">
        <f t="shared" si="2"/>
        <v>1.5730823768231407E-2</v>
      </c>
    </row>
    <row r="15" spans="1:17">
      <c r="A15" s="92" t="s">
        <v>27</v>
      </c>
      <c r="B15" s="19">
        <f>SUM('R 2006'!B14+'TRT 2006'!B15)</f>
        <v>6033.03</v>
      </c>
      <c r="C15" s="19">
        <f>SUM('R 2006'!C14+'TRT 2006'!C15)</f>
        <v>20698.68</v>
      </c>
      <c r="D15" s="19">
        <f>SUM('R 2006'!D14+'TRT 2006'!D15)</f>
        <v>4472.2300000000005</v>
      </c>
      <c r="E15" s="19">
        <f>SUM('R 2006'!E14+'TRT 2006'!E15)</f>
        <v>4978.6499999999996</v>
      </c>
      <c r="F15" s="19">
        <f>SUM('R 2006'!F14+'TRT 2006'!F15)</f>
        <v>18474.43</v>
      </c>
      <c r="G15" s="19">
        <f>SUM('R 2006'!G14+'TRT 2006'!G15)</f>
        <v>5919.79</v>
      </c>
      <c r="H15" s="19">
        <f>SUM('R 2006'!H14+'TRT 2006'!H15)</f>
        <v>5939.03</v>
      </c>
      <c r="I15" s="19">
        <f>SUM('R 2006'!I14+'TRT 2006'!I15)</f>
        <v>23474.78</v>
      </c>
      <c r="J15" s="19">
        <f>SUM('R 2006'!J14+'TRT 2006'!J15)</f>
        <v>8533.4500000000007</v>
      </c>
      <c r="K15" s="19">
        <f>SUM('R 2006'!K14+'TRT 2006'!K15)</f>
        <v>6423.1900000000005</v>
      </c>
      <c r="L15" s="19">
        <f>SUM('R 2006'!L14+'TRT 2006'!L15)</f>
        <v>30621.21</v>
      </c>
      <c r="M15" s="19">
        <f>SUM('R 2006'!M14+'TRT 2006'!M15)</f>
        <v>6364.7</v>
      </c>
      <c r="N15" s="81">
        <f t="shared" si="0"/>
        <v>141933.17000000001</v>
      </c>
      <c r="O15" s="19">
        <f>SUM('TOTAL 2005'!B15:L15)</f>
        <v>137859.15999999997</v>
      </c>
      <c r="P15" s="84">
        <f t="shared" si="1"/>
        <v>2.9551971736952787E-2</v>
      </c>
      <c r="Q15" s="22">
        <f t="shared" si="2"/>
        <v>2.201029125910311E-3</v>
      </c>
    </row>
    <row r="16" spans="1:17">
      <c r="A16" s="92" t="s">
        <v>28</v>
      </c>
      <c r="B16" s="19">
        <f>SUM('R 2006'!B15+'TRT 2006'!B16)</f>
        <v>23219.39</v>
      </c>
      <c r="C16" s="19">
        <f>SUM('R 2006'!C15+'TRT 2006'!C16)</f>
        <v>31650.21</v>
      </c>
      <c r="D16" s="19">
        <f>SUM('R 2006'!D15+'TRT 2006'!D16)</f>
        <v>10362.189999999999</v>
      </c>
      <c r="E16" s="19">
        <f>SUM('R 2006'!E15+'TRT 2006'!E16)</f>
        <v>8901.33</v>
      </c>
      <c r="F16" s="19">
        <f>SUM('R 2006'!F15+'TRT 2006'!F16)</f>
        <v>25460.440000000002</v>
      </c>
      <c r="G16" s="19">
        <f>SUM('R 2006'!G15+'TRT 2006'!G16)</f>
        <v>29686.21</v>
      </c>
      <c r="H16" s="19">
        <f>SUM('R 2006'!H15+'TRT 2006'!H16)</f>
        <v>29604.5</v>
      </c>
      <c r="I16" s="19">
        <f>SUM('R 2006'!I15+'TRT 2006'!I16)</f>
        <v>88980.89</v>
      </c>
      <c r="J16" s="19">
        <f>SUM('R 2006'!J15+'TRT 2006'!J16)</f>
        <v>41922.54</v>
      </c>
      <c r="K16" s="19">
        <f>SUM('R 2006'!K15+'TRT 2006'!K16)</f>
        <v>43059.1</v>
      </c>
      <c r="L16" s="19">
        <f>SUM('R 2006'!L15+'TRT 2006'!L16)</f>
        <v>96808.98</v>
      </c>
      <c r="M16" s="19">
        <f>SUM('R 2006'!M15+'TRT 2006'!M16)</f>
        <v>43057.25</v>
      </c>
      <c r="N16" s="81">
        <f t="shared" si="0"/>
        <v>472713.02999999991</v>
      </c>
      <c r="O16" s="19">
        <f>SUM('TOTAL 2005'!B16:L16)</f>
        <v>415432.57</v>
      </c>
      <c r="P16" s="84">
        <f t="shared" si="1"/>
        <v>0.13788148579684045</v>
      </c>
      <c r="Q16" s="22">
        <f t="shared" si="2"/>
        <v>7.3305989517976266E-3</v>
      </c>
    </row>
    <row r="17" spans="1:17">
      <c r="A17" s="92" t="s">
        <v>52</v>
      </c>
      <c r="B17" s="19">
        <f>'TRT 2006'!B17</f>
        <v>5192.5</v>
      </c>
      <c r="C17" s="19">
        <f>'TRT 2006'!C17</f>
        <v>7296.55</v>
      </c>
      <c r="D17" s="19">
        <f>'TRT 2006'!D17</f>
        <v>5415</v>
      </c>
      <c r="E17" s="19">
        <f>'TRT 2006'!E17</f>
        <v>2622.29</v>
      </c>
      <c r="F17" s="19">
        <f>'TRT 2006'!F17</f>
        <v>9201.11</v>
      </c>
      <c r="G17" s="19">
        <f>'TRT 2006'!G17</f>
        <v>5625.95</v>
      </c>
      <c r="H17" s="19">
        <f>'TRT 2006'!H17</f>
        <v>5031.6099999999997</v>
      </c>
      <c r="I17" s="19">
        <f>'TRT 2006'!I17</f>
        <v>21057.360000000001</v>
      </c>
      <c r="J17" s="19">
        <f>'TRT 2006'!J17</f>
        <v>361.17</v>
      </c>
      <c r="K17" s="19">
        <f>'TRT 2006'!K17</f>
        <v>7650.09</v>
      </c>
      <c r="L17" s="19">
        <f>'TRT 2006'!L17</f>
        <v>21011.32</v>
      </c>
      <c r="M17" s="19">
        <f>'TRT 2006'!M17</f>
        <v>10752.39</v>
      </c>
      <c r="N17" s="81">
        <f t="shared" si="0"/>
        <v>101217.34000000001</v>
      </c>
      <c r="O17" s="19">
        <f>SUM('TOTAL 2005'!B17:L17)</f>
        <v>82197.23000000001</v>
      </c>
      <c r="P17" s="84">
        <f t="shared" si="1"/>
        <v>0.23139599716438131</v>
      </c>
      <c r="Q17" s="22">
        <f t="shared" si="2"/>
        <v>1.5696282510083213E-3</v>
      </c>
    </row>
    <row r="18" spans="1:17">
      <c r="A18" s="92" t="s">
        <v>29</v>
      </c>
      <c r="B18" s="19">
        <f>SUM('R 2006'!B16+'CR 2006'!C7+'TRT 2006'!B18)</f>
        <v>1173.3600000000001</v>
      </c>
      <c r="C18" s="19">
        <f>SUM('R 2006'!C16+'CR 2006'!D7+'TRT 2006'!C18)</f>
        <v>5275.24</v>
      </c>
      <c r="D18" s="19">
        <f>SUM('R 2006'!D16+'CR 2006'!E7+'TRT 2006'!D18)</f>
        <v>1750.6699999999998</v>
      </c>
      <c r="E18" s="19">
        <f>SUM('R 2006'!E16+'CR 2006'!F7+'TRT 2006'!E18)</f>
        <v>1176.25</v>
      </c>
      <c r="F18" s="19">
        <f>SUM('R 2006'!F16+'CR 2006'!G7+'TRT 2006'!F18)</f>
        <v>4305.24</v>
      </c>
      <c r="G18" s="19">
        <f>SUM('R 2006'!G16+'CR 2006'!H7+'TRT 2006'!G18)</f>
        <v>4471.01</v>
      </c>
      <c r="H18" s="19">
        <f>SUM('R 2006'!H16+'CR 2006'!I7+'TRT 2006'!H18)</f>
        <v>1124.69</v>
      </c>
      <c r="I18" s="19">
        <f>SUM('R 2006'!I16+'CR 2006'!J7+'TRT 2006'!I18)</f>
        <v>8040.78</v>
      </c>
      <c r="J18" s="19">
        <f>SUM('R 2006'!J16+'CR 2006'!K7+'TRT 2006'!J18)</f>
        <v>1548.8799999999999</v>
      </c>
      <c r="K18" s="19">
        <f>SUM('R 2006'!K16+'CR 2006'!L7+'TRT 2006'!K18)</f>
        <v>968.09999999999991</v>
      </c>
      <c r="L18" s="19">
        <f>SUM('R 2006'!L16+'CR 2006'!M7+'TRT 2006'!L18)</f>
        <v>10606.01</v>
      </c>
      <c r="M18" s="19">
        <f>SUM('R 2006'!M16+'CR 2006'!N7+'TRT 2006'!M18)</f>
        <v>2125.92</v>
      </c>
      <c r="N18" s="81">
        <f t="shared" si="0"/>
        <v>42566.149999999994</v>
      </c>
      <c r="O18" s="19">
        <f>SUM('TOTAL 2005'!B18:L18)</f>
        <v>33444.239999999998</v>
      </c>
      <c r="P18" s="84">
        <f t="shared" si="1"/>
        <v>0.27274980684267303</v>
      </c>
      <c r="Q18" s="22">
        <f t="shared" si="2"/>
        <v>6.600947187177399E-4</v>
      </c>
    </row>
    <row r="19" spans="1:17">
      <c r="A19" s="92" t="s">
        <v>53</v>
      </c>
      <c r="B19" s="19">
        <f>'TRT 2006'!B19</f>
        <v>182.03</v>
      </c>
      <c r="C19" s="19">
        <f>'TRT 2006'!C19</f>
        <v>1027.92</v>
      </c>
      <c r="D19" s="19">
        <f>'TRT 2006'!D19</f>
        <v>25.38</v>
      </c>
      <c r="E19" s="19">
        <f>'TRT 2006'!E19</f>
        <v>1240.8399999999999</v>
      </c>
      <c r="F19" s="19">
        <f>'TRT 2006'!F19</f>
        <v>137.74</v>
      </c>
      <c r="G19" s="19">
        <f>'TRT 2006'!G19</f>
        <v>200.26</v>
      </c>
      <c r="H19" s="19">
        <f>'TRT 2006'!H19</f>
        <v>398.49</v>
      </c>
      <c r="I19" s="19">
        <f>'TRT 2006'!I19</f>
        <v>1964.35</v>
      </c>
      <c r="J19" s="19">
        <f>'TRT 2006'!J19</f>
        <v>782.59</v>
      </c>
      <c r="K19" s="19">
        <f>'TRT 2006'!K19</f>
        <v>2263.8200000000002</v>
      </c>
      <c r="L19" s="19">
        <f>'TRT 2006'!L19</f>
        <v>4805.01</v>
      </c>
      <c r="M19" s="19">
        <f>'TRT 2006'!M19</f>
        <v>1701.57</v>
      </c>
      <c r="N19" s="81">
        <f t="shared" si="0"/>
        <v>14730</v>
      </c>
      <c r="O19" s="19">
        <f>SUM('TOTAL 2005'!B19:L19)</f>
        <v>11593.109999999999</v>
      </c>
      <c r="P19" s="84">
        <f t="shared" si="1"/>
        <v>0.27058226826106213</v>
      </c>
      <c r="Q19" s="22">
        <f t="shared" si="2"/>
        <v>2.2842552607441147E-4</v>
      </c>
    </row>
    <row r="20" spans="1:17">
      <c r="A20" s="92" t="s">
        <v>30</v>
      </c>
      <c r="B20" s="19">
        <f>SUM('R 2006'!B18+'TRT 2006'!B20)</f>
        <v>4283.3999999999996</v>
      </c>
      <c r="C20" s="19">
        <f>SUM('R 2006'!C18+'TRT 2006'!C20)</f>
        <v>2032</v>
      </c>
      <c r="D20" s="19">
        <f>SUM('R 2006'!D18+'TRT 2006'!D20)</f>
        <v>0.22</v>
      </c>
      <c r="E20" s="19">
        <f>SUM('R 2006'!E18+'TRT 2006'!E20)</f>
        <v>481</v>
      </c>
      <c r="F20" s="19">
        <f>SUM('R 2006'!F18+'TRT 2006'!F20)</f>
        <v>6433.27</v>
      </c>
      <c r="G20" s="19">
        <f>SUM('R 2006'!G18+'TRT 2006'!G20)</f>
        <v>2420.2399999999998</v>
      </c>
      <c r="H20" s="19">
        <f>SUM('R 2006'!H18+'TRT 2006'!H20)</f>
        <v>138.91999999999999</v>
      </c>
      <c r="I20" s="19">
        <f>SUM('R 2006'!I18+'TRT 2006'!I20)</f>
        <v>4235.28</v>
      </c>
      <c r="J20" s="19">
        <f>SUM('R 2006'!J18+'TRT 2006'!J20)</f>
        <v>2320.31</v>
      </c>
      <c r="K20" s="19">
        <f>SUM('R 2006'!K18+'TRT 2006'!K20)</f>
        <v>13720</v>
      </c>
      <c r="L20" s="19">
        <f>SUM('R 2006'!L18+'TRT 2006'!L20)</f>
        <v>28610.93</v>
      </c>
      <c r="M20" s="19">
        <f>SUM('R 2006'!M18+'TRT 2006'!M20)</f>
        <v>14797.64</v>
      </c>
      <c r="N20" s="81">
        <f t="shared" si="0"/>
        <v>79473.209999999992</v>
      </c>
      <c r="O20" s="19">
        <f>SUM('TOTAL 2005'!B20:L20)</f>
        <v>79411.31</v>
      </c>
      <c r="P20" s="84">
        <f t="shared" si="1"/>
        <v>7.794859447602942E-4</v>
      </c>
      <c r="Q20" s="22">
        <f t="shared" si="2"/>
        <v>1.2324310796383011E-3</v>
      </c>
    </row>
    <row r="21" spans="1:17">
      <c r="A21" s="92" t="s">
        <v>31</v>
      </c>
      <c r="B21" s="19">
        <f>'R 2006'!B19+'CR 2006'!C8+'TRT 2006'!B21</f>
        <v>1990604.67</v>
      </c>
      <c r="C21" s="19">
        <f>'R 2006'!C19+'CR 2006'!D8+'TRT 2006'!C21</f>
        <v>2571936.41</v>
      </c>
      <c r="D21" s="19">
        <f>'R 2006'!D19+'CR 2006'!E8+'TRT 2006'!D21</f>
        <v>3154099.71</v>
      </c>
      <c r="E21" s="19">
        <f>'R 2006'!E19+'CR 2006'!F8+'TRT 2006'!E21</f>
        <v>2770584.1399999997</v>
      </c>
      <c r="F21" s="19">
        <f>'R 2006'!F19+'CR 2006'!G8+'TRT 2006'!F21</f>
        <v>4047065.8200000003</v>
      </c>
      <c r="G21" s="19">
        <f>'R 2006'!G19+'CR 2006'!H8+'TRT 2006'!G21</f>
        <v>2494075.98</v>
      </c>
      <c r="H21" s="19">
        <f>'R 2006'!H19+'CR 2006'!I8+'TRT 2006'!H21</f>
        <v>1971918.1300000001</v>
      </c>
      <c r="I21" s="19">
        <f>'R 2006'!I19+'CR 2006'!J8+'TRT 2006'!I21</f>
        <v>3138578.7800000003</v>
      </c>
      <c r="J21" s="19">
        <f>'R 2006'!J19+'CR 2006'!K8+'TRT 2006'!J21</f>
        <v>2402761.2799999998</v>
      </c>
      <c r="K21" s="19">
        <f>'R 2006'!K19+'CR 2006'!L8+'TRT 2006'!K21</f>
        <v>3167990.23</v>
      </c>
      <c r="L21" s="19">
        <f>'R 2006'!L19+'CR 2006'!M8+'TRT 2006'!L21</f>
        <v>3142104.77</v>
      </c>
      <c r="M21" s="19">
        <f>'R 2006'!M19+'CR 2006'!N8+'TRT 2006'!M21</f>
        <v>3075843.8</v>
      </c>
      <c r="N21" s="81">
        <f t="shared" si="0"/>
        <v>33927563.719999999</v>
      </c>
      <c r="O21" s="19">
        <f>SUM('TOTAL 2005'!B21:L21)</f>
        <v>28822017.830000006</v>
      </c>
      <c r="P21" s="84">
        <f t="shared" si="1"/>
        <v>0.17714047365156294</v>
      </c>
      <c r="Q21" s="22">
        <f t="shared" si="2"/>
        <v>0.52613181202743498</v>
      </c>
    </row>
    <row r="22" spans="1:17">
      <c r="A22" s="92" t="s">
        <v>45</v>
      </c>
      <c r="B22" s="19">
        <f>'R 2006'!B20+'TRT 2006'!B22</f>
        <v>6819.58</v>
      </c>
      <c r="C22" s="19">
        <f>'R 2006'!C20+'TRT 2006'!C22</f>
        <v>17117.57</v>
      </c>
      <c r="D22" s="19">
        <f>'R 2006'!D20+'TRT 2006'!D22</f>
        <v>7710.95</v>
      </c>
      <c r="E22" s="19">
        <f>'R 2006'!E20+'TRT 2006'!E22</f>
        <v>4095.44</v>
      </c>
      <c r="F22" s="19">
        <f>'R 2006'!F20+'TRT 2006'!F22</f>
        <v>19606.32</v>
      </c>
      <c r="G22" s="19">
        <f>'R 2006'!G20+'TRT 2006'!G22</f>
        <v>17536.509999999998</v>
      </c>
      <c r="H22" s="19">
        <f>'R 2006'!H20+'TRT 2006'!H22</f>
        <v>24929.23</v>
      </c>
      <c r="I22" s="19">
        <f>'R 2006'!I20+'TRT 2006'!I22</f>
        <v>46957.49</v>
      </c>
      <c r="J22" s="19">
        <f>'R 2006'!J20+'TRT 2006'!J22</f>
        <v>23762.52</v>
      </c>
      <c r="K22" s="19">
        <f>'R 2006'!K20+'TRT 2006'!K22</f>
        <v>21308.14</v>
      </c>
      <c r="L22" s="19">
        <f>'R 2006'!L20+'TRT 2006'!L22</f>
        <v>54947.23</v>
      </c>
      <c r="M22" s="19">
        <f>'R 2006'!M20+'TRT 2006'!M22</f>
        <v>22708.14</v>
      </c>
      <c r="N22" s="81">
        <f t="shared" si="0"/>
        <v>267499.12</v>
      </c>
      <c r="O22" s="19">
        <f>SUM('TOTAL 2005'!B22:L22)</f>
        <v>229117.63999999998</v>
      </c>
      <c r="P22" s="84">
        <f t="shared" si="1"/>
        <v>0.16751865984653125</v>
      </c>
      <c r="Q22" s="22">
        <f t="shared" si="2"/>
        <v>4.1482435309193565E-3</v>
      </c>
    </row>
    <row r="23" spans="1:17">
      <c r="A23" s="92" t="s">
        <v>32</v>
      </c>
      <c r="B23" s="19">
        <f>SUM('R 2006'!B21+'TRT 2006'!B23)</f>
        <v>5209.2099999999991</v>
      </c>
      <c r="C23" s="19">
        <f>SUM('R 2006'!C21+'TRT 2006'!C23)</f>
        <v>18352.370000000003</v>
      </c>
      <c r="D23" s="19">
        <f>SUM('R 2006'!D21+'TRT 2006'!D23)</f>
        <v>3989.87</v>
      </c>
      <c r="E23" s="19">
        <f>SUM('R 2006'!E21+'TRT 2006'!E23)</f>
        <v>2551.71</v>
      </c>
      <c r="F23" s="19">
        <f>SUM('R 2006'!F21+'TRT 2006'!F23)</f>
        <v>19365.25</v>
      </c>
      <c r="G23" s="19">
        <f>SUM('R 2006'!G21+'TRT 2006'!G23)</f>
        <v>2230.5100000000002</v>
      </c>
      <c r="H23" s="19">
        <f>SUM('R 2006'!H21+'TRT 2006'!H23)</f>
        <v>7700.1100000000006</v>
      </c>
      <c r="I23" s="19">
        <f>SUM('R 2006'!I21+'TRT 2006'!I23)</f>
        <v>21868.12</v>
      </c>
      <c r="J23" s="19">
        <f>SUM('R 2006'!J21+'TRT 2006'!J23)</f>
        <v>4631.3500000000004</v>
      </c>
      <c r="K23" s="19">
        <f>SUM('R 2006'!K21+'TRT 2006'!K23)</f>
        <v>2836.3</v>
      </c>
      <c r="L23" s="19">
        <f>SUM('R 2006'!L21+'TRT 2006'!L23)</f>
        <v>22119.52</v>
      </c>
      <c r="M23" s="19">
        <f>SUM('R 2006'!M21+'TRT 2006'!M23)</f>
        <v>3912.39</v>
      </c>
      <c r="N23" s="81">
        <f t="shared" si="0"/>
        <v>114766.71000000002</v>
      </c>
      <c r="O23" s="19">
        <f>SUM('TOTAL 2005'!B23:L23)</f>
        <v>119602.05000000002</v>
      </c>
      <c r="P23" s="84">
        <f t="shared" si="1"/>
        <v>-4.0428571249405798E-2</v>
      </c>
      <c r="Q23" s="22">
        <f t="shared" si="2"/>
        <v>1.7797451532640478E-3</v>
      </c>
    </row>
    <row r="24" spans="1:17">
      <c r="A24" s="92" t="s">
        <v>33</v>
      </c>
      <c r="B24" s="19">
        <f>SUM('R 2006'!B22+'CR 2006'!C9+'TRT 2006'!B24)</f>
        <v>15806.54</v>
      </c>
      <c r="C24" s="19">
        <f>SUM('R 2006'!C22+'CR 2006'!D9+'TRT 2006'!C24)</f>
        <v>42330.92</v>
      </c>
      <c r="D24" s="19">
        <f>SUM('R 2006'!D22+'CR 2006'!E9+'TRT 2006'!D24)</f>
        <v>18505.919999999998</v>
      </c>
      <c r="E24" s="19">
        <f>SUM('R 2006'!E22+'CR 2006'!F9+'TRT 2006'!E24)</f>
        <v>14125.38</v>
      </c>
      <c r="F24" s="19">
        <f>SUM('R 2006'!F22+'CR 2006'!G9+'TRT 2006'!F24)</f>
        <v>42931.08</v>
      </c>
      <c r="G24" s="19">
        <f>SUM('R 2006'!G22+'CR 2006'!H9+'TRT 2006'!G24)</f>
        <v>24503.46</v>
      </c>
      <c r="H24" s="19">
        <f>SUM('R 2006'!H22+'CR 2006'!I9+'TRT 2006'!H24)</f>
        <v>27198.090000000004</v>
      </c>
      <c r="I24" s="19">
        <f>SUM('R 2006'!I22+'CR 2006'!J9+'TRT 2006'!I24)</f>
        <v>72439.88</v>
      </c>
      <c r="J24" s="19">
        <f>SUM('R 2006'!J22+'CR 2006'!K9+'TRT 2006'!J24)</f>
        <v>32925.99</v>
      </c>
      <c r="K24" s="19">
        <f>SUM('R 2006'!K22+'CR 2006'!L9+'TRT 2006'!K24)</f>
        <v>25529.059999999998</v>
      </c>
      <c r="L24" s="19">
        <f>SUM('R 2006'!L22+'CR 2006'!M9+'TRT 2006'!L24)</f>
        <v>74045.709999999992</v>
      </c>
      <c r="M24" s="19">
        <f>SUM('R 2006'!M22+'CR 2006'!N9+'TRT 2006'!M24)</f>
        <v>31365.59</v>
      </c>
      <c r="N24" s="81">
        <f t="shared" si="0"/>
        <v>421707.62000000005</v>
      </c>
      <c r="O24" s="19">
        <f>SUM('TOTAL 2005'!B24:L24)</f>
        <v>365338.73999999993</v>
      </c>
      <c r="P24" s="84">
        <f t="shared" si="1"/>
        <v>0.15429209615164319</v>
      </c>
      <c r="Q24" s="22">
        <f t="shared" si="2"/>
        <v>6.539632379367822E-3</v>
      </c>
    </row>
    <row r="25" spans="1:17">
      <c r="A25" s="92" t="s">
        <v>34</v>
      </c>
      <c r="B25" s="19">
        <f>SUM('R 2006'!B23+'TRT 2006'!B25)</f>
        <v>109810.99</v>
      </c>
      <c r="C25" s="19">
        <f>SUM('R 2006'!C23+'TRT 2006'!C25)</f>
        <v>860293.08000000007</v>
      </c>
      <c r="D25" s="19">
        <f>SUM('R 2006'!D23+'TRT 2006'!D25)</f>
        <v>928534.72</v>
      </c>
      <c r="E25" s="19">
        <f>SUM('R 2006'!E23+'TRT 2006'!E25)</f>
        <v>886391.62999999989</v>
      </c>
      <c r="F25" s="19">
        <f>SUM('R 2006'!F23+'TRT 2006'!F25)</f>
        <v>1146981.49</v>
      </c>
      <c r="G25" s="19">
        <f>SUM('R 2006'!G23+'TRT 2006'!G25)</f>
        <v>758150.54</v>
      </c>
      <c r="H25" s="19">
        <f>SUM('R 2006'!H23+'TRT 2006'!H25)</f>
        <v>118172.26999999999</v>
      </c>
      <c r="I25" s="19">
        <f>SUM('R 2006'!I23+'TRT 2006'!I25)</f>
        <v>272192.56</v>
      </c>
      <c r="J25" s="19">
        <f>SUM('R 2006'!J23+'TRT 2006'!J25)</f>
        <v>321385.28999999998</v>
      </c>
      <c r="K25" s="19">
        <f>SUM('R 2006'!K23+'TRT 2006'!K25)</f>
        <v>256995.78000000003</v>
      </c>
      <c r="L25" s="19">
        <f>SUM('R 2006'!L23+'TRT 2006'!L25)</f>
        <v>277762.53000000003</v>
      </c>
      <c r="M25" s="19">
        <f>SUM('R 2006'!M23+'TRT 2006'!M25)</f>
        <v>183516.21000000002</v>
      </c>
      <c r="N25" s="81">
        <f t="shared" si="0"/>
        <v>6120187.0899999999</v>
      </c>
      <c r="O25" s="19">
        <f>SUM('TOTAL 2005'!B25:L25)</f>
        <v>5250150.18</v>
      </c>
      <c r="P25" s="84">
        <f t="shared" si="1"/>
        <v>0.16571657574945786</v>
      </c>
      <c r="Q25" s="22">
        <f t="shared" si="2"/>
        <v>9.4908822519149449E-2</v>
      </c>
    </row>
    <row r="26" spans="1:17">
      <c r="A26" s="92" t="s">
        <v>35</v>
      </c>
      <c r="B26" s="19">
        <f>SUM('R 2006'!B24+'TRT 2006'!B26)</f>
        <v>27715.03</v>
      </c>
      <c r="C26" s="19">
        <f>SUM('R 2006'!C24+'TRT 2006'!C26)</f>
        <v>48833.86</v>
      </c>
      <c r="D26" s="19">
        <f>SUM('R 2006'!D24+'TRT 2006'!D26)</f>
        <v>28942.71</v>
      </c>
      <c r="E26" s="19">
        <f>SUM('R 2006'!E24+'TRT 2006'!E26)</f>
        <v>31488.989999999998</v>
      </c>
      <c r="F26" s="19">
        <f>SUM('R 2006'!F24+'TRT 2006'!F26)</f>
        <v>56509.85</v>
      </c>
      <c r="G26" s="19">
        <f>SUM('R 2006'!G24+'TRT 2006'!G26)</f>
        <v>36086.400000000001</v>
      </c>
      <c r="H26" s="19">
        <f>SUM('R 2006'!H24+'TRT 2006'!H26)</f>
        <v>33594.69</v>
      </c>
      <c r="I26" s="19">
        <f>SUM('R 2006'!I24+'TRT 2006'!I26)</f>
        <v>67979.899999999994</v>
      </c>
      <c r="J26" s="19">
        <f>SUM('R 2006'!J24+'TRT 2006'!J26)</f>
        <v>35175.18</v>
      </c>
      <c r="K26" s="19">
        <f>SUM('R 2006'!K24+'TRT 2006'!K26)</f>
        <v>49885.49</v>
      </c>
      <c r="L26" s="19">
        <f>SUM('R 2006'!L24+'TRT 2006'!L26)</f>
        <v>68501.180000000008</v>
      </c>
      <c r="M26" s="19">
        <f>SUM('R 2006'!M24+'TRT 2006'!M26)</f>
        <v>37591.279999999999</v>
      </c>
      <c r="N26" s="81">
        <f t="shared" si="0"/>
        <v>522304.56000000006</v>
      </c>
      <c r="O26" s="19">
        <f>SUM('TOTAL 2005'!B26:L26)</f>
        <v>425669.88</v>
      </c>
      <c r="P26" s="84">
        <f t="shared" si="1"/>
        <v>0.22701789471221234</v>
      </c>
      <c r="Q26" s="22">
        <f t="shared" si="2"/>
        <v>8.0996397752249854E-3</v>
      </c>
    </row>
    <row r="27" spans="1:17">
      <c r="A27" s="92" t="s">
        <v>36</v>
      </c>
      <c r="B27" s="19">
        <f>SUM('R 2006'!B25+'CR 2006'!C10+'TRT 2006'!B27)</f>
        <v>31509.200000000001</v>
      </c>
      <c r="C27" s="19">
        <f>SUM('R 2006'!C25+'CR 2006'!D10+'TRT 2006'!C27)</f>
        <v>61744.770000000004</v>
      </c>
      <c r="D27" s="19">
        <f>SUM('R 2006'!D25+'CR 2006'!E10+'TRT 2006'!D27)</f>
        <v>30901.85</v>
      </c>
      <c r="E27" s="19">
        <f>SUM('R 2006'!E25+'CR 2006'!F10+'TRT 2006'!E27)</f>
        <v>26625.78</v>
      </c>
      <c r="F27" s="19">
        <f>SUM('R 2006'!F25+'CR 2006'!G10+'TRT 2006'!F27)</f>
        <v>58951.11</v>
      </c>
      <c r="G27" s="19">
        <f>SUM('R 2006'!G25+'CR 2006'!H10+'TRT 2006'!G27)</f>
        <v>37777.229999999996</v>
      </c>
      <c r="H27" s="19">
        <f>SUM('R 2006'!H25+'CR 2006'!I10+'TRT 2006'!H27)</f>
        <v>33679.33</v>
      </c>
      <c r="I27" s="19">
        <f>SUM('R 2006'!I25+'CR 2006'!J10+'TRT 2006'!I27)</f>
        <v>91052.64</v>
      </c>
      <c r="J27" s="19">
        <f>SUM('R 2006'!J25+'CR 2006'!K10+'TRT 2006'!J27)</f>
        <v>48512.38</v>
      </c>
      <c r="K27" s="19">
        <f>SUM('R 2006'!K25+'CR 2006'!L10+'TRT 2006'!K27)</f>
        <v>46119.12</v>
      </c>
      <c r="L27" s="19">
        <f>SUM('R 2006'!L25+'CR 2006'!M10+'TRT 2006'!L27)</f>
        <v>100450.64</v>
      </c>
      <c r="M27" s="19">
        <f>SUM('R 2006'!M25+'CR 2006'!N10+'TRT 2006'!M27)</f>
        <v>46526.06</v>
      </c>
      <c r="N27" s="81">
        <f t="shared" si="0"/>
        <v>613850.1100000001</v>
      </c>
      <c r="O27" s="19">
        <f>SUM('TOTAL 2005'!B27:L27)</f>
        <v>436341.17000000004</v>
      </c>
      <c r="P27" s="84">
        <f t="shared" si="1"/>
        <v>0.40681226573233986</v>
      </c>
      <c r="Q27" s="22">
        <f t="shared" si="2"/>
        <v>9.5192827092725994E-3</v>
      </c>
    </row>
    <row r="28" spans="1:17">
      <c r="A28" s="92" t="s">
        <v>37</v>
      </c>
      <c r="B28" s="19">
        <f>SUM('R 2006'!B26+'TRT 2006'!B28+'CR 2006'!C11)</f>
        <v>355492</v>
      </c>
      <c r="C28" s="19">
        <f>SUM('R 2006'!C26+'TRT 2006'!C28+'CR 2006'!D11)</f>
        <v>421480.83999999997</v>
      </c>
      <c r="D28" s="19">
        <f>SUM('R 2006'!D26+'TRT 2006'!D28+'CR 2006'!E11)</f>
        <v>396058.78</v>
      </c>
      <c r="E28" s="19">
        <f>SUM('R 2006'!E26+'TRT 2006'!E28+'CR 2006'!F11)</f>
        <v>360916.44</v>
      </c>
      <c r="F28" s="19">
        <f>SUM('R 2006'!F26+'TRT 2006'!F28+'CR 2006'!G11)</f>
        <v>498894.47</v>
      </c>
      <c r="G28" s="19">
        <f>SUM('R 2006'!G26+'TRT 2006'!G28+'CR 2006'!H11)</f>
        <v>265427.12</v>
      </c>
      <c r="H28" s="19">
        <f>SUM('R 2006'!H26+'TRT 2006'!H28+'CR 2006'!I11)</f>
        <v>410994.37</v>
      </c>
      <c r="I28" s="19">
        <f>SUM('R 2006'!I26+'TRT 2006'!I28+'CR 2006'!J11)</f>
        <v>479272.87</v>
      </c>
      <c r="J28" s="19">
        <f>SUM('R 2006'!J26+'TRT 2006'!J28+'CR 2006'!K11)</f>
        <v>360532.01</v>
      </c>
      <c r="K28" s="19">
        <f>SUM('R 2006'!K26+'TRT 2006'!K28+'CR 2006'!L11)</f>
        <v>427046.69</v>
      </c>
      <c r="L28" s="19">
        <f>SUM('R 2006'!L26+'TRT 2006'!L28+'CR 2006'!M11)</f>
        <v>484092.55</v>
      </c>
      <c r="M28" s="19">
        <f>SUM('R 2006'!M26+'TRT 2006'!M28+'CR 2006'!N11)</f>
        <v>444451.22</v>
      </c>
      <c r="N28" s="81">
        <f t="shared" si="0"/>
        <v>4904659.3600000003</v>
      </c>
      <c r="O28" s="19">
        <f>SUM('TOTAL 2005'!B28:L28)</f>
        <v>4478374.9400000004</v>
      </c>
      <c r="P28" s="84">
        <f t="shared" si="1"/>
        <v>9.5187300239760519E-2</v>
      </c>
      <c r="Q28" s="22">
        <f t="shared" si="2"/>
        <v>7.6059022031485832E-2</v>
      </c>
    </row>
    <row r="29" spans="1:17">
      <c r="A29" s="92" t="s">
        <v>38</v>
      </c>
      <c r="B29" s="19">
        <f>SUM('R 2006'!B27+'TRT 2006'!B29)</f>
        <v>21114.769999999997</v>
      </c>
      <c r="C29" s="19">
        <f>SUM('R 2006'!C27+'TRT 2006'!C29)</f>
        <v>47831.8</v>
      </c>
      <c r="D29" s="19">
        <f>SUM('R 2006'!D27+'TRT 2006'!D29)</f>
        <v>32894.399999999994</v>
      </c>
      <c r="E29" s="19">
        <f>SUM('R 2006'!E27+'TRT 2006'!E29)</f>
        <v>30367.059999999998</v>
      </c>
      <c r="F29" s="19">
        <f>SUM('R 2006'!F27+'TRT 2006'!F29)</f>
        <v>59890.94</v>
      </c>
      <c r="G29" s="19">
        <f>SUM('R 2006'!G27+'TRT 2006'!G29)</f>
        <v>26242.29</v>
      </c>
      <c r="H29" s="19">
        <f>SUM('R 2006'!H27+'TRT 2006'!H29)</f>
        <v>26477.120000000003</v>
      </c>
      <c r="I29" s="19">
        <f>SUM('R 2006'!I27+'TRT 2006'!I29)</f>
        <v>84114.15</v>
      </c>
      <c r="J29" s="19">
        <f>SUM('R 2006'!J27+'TRT 2006'!J29)</f>
        <v>58428.84</v>
      </c>
      <c r="K29" s="19">
        <f>SUM('R 2006'!K27+'TRT 2006'!K29)</f>
        <v>50064.22</v>
      </c>
      <c r="L29" s="19">
        <f>SUM('R 2006'!L27+'TRT 2006'!L29)</f>
        <v>113868</v>
      </c>
      <c r="M29" s="19">
        <f>SUM('R 2006'!M27+'TRT 2006'!M29)</f>
        <v>37909.96</v>
      </c>
      <c r="N29" s="81">
        <f t="shared" si="0"/>
        <v>589203.54999999993</v>
      </c>
      <c r="O29" s="19">
        <f>SUM('TOTAL 2005'!B29:L29)</f>
        <v>412994.42</v>
      </c>
      <c r="P29" s="84">
        <f t="shared" si="1"/>
        <v>0.42666225369340327</v>
      </c>
      <c r="Q29" s="22">
        <f t="shared" si="2"/>
        <v>9.1370760946137674E-3</v>
      </c>
    </row>
    <row r="30" spans="1:17">
      <c r="A30" s="92" t="s">
        <v>39</v>
      </c>
      <c r="B30" s="19">
        <f>SUM('R 2006'!B28+'CR 2006'!C12+'TRT 2006'!B30)</f>
        <v>199404.97999999998</v>
      </c>
      <c r="C30" s="19">
        <f>SUM('R 2006'!C28+'CR 2006'!D12+'TRT 2006'!C30)</f>
        <v>327845.18000000005</v>
      </c>
      <c r="D30" s="19">
        <f>SUM('R 2006'!D28+'CR 2006'!E12+'TRT 2006'!D30)</f>
        <v>199425.91999999998</v>
      </c>
      <c r="E30" s="19">
        <f>SUM('R 2006'!E28+'CR 2006'!F12+'TRT 2006'!E30)</f>
        <v>219974.73</v>
      </c>
      <c r="F30" s="19">
        <f>SUM('R 2006'!F28+'CR 2006'!G12+'TRT 2006'!F30)</f>
        <v>445359.76</v>
      </c>
      <c r="G30" s="19">
        <f>SUM('R 2006'!G28+'CR 2006'!H12+'TRT 2006'!G30)</f>
        <v>296213.71999999997</v>
      </c>
      <c r="H30" s="19">
        <f>SUM('R 2006'!H28+'CR 2006'!I12+'TRT 2006'!H30)</f>
        <v>276962.46999999997</v>
      </c>
      <c r="I30" s="19">
        <f>SUM('R 2006'!I28+'CR 2006'!J12+'TRT 2006'!I30)</f>
        <v>471113.63</v>
      </c>
      <c r="J30" s="19">
        <f>SUM('R 2006'!J28+'CR 2006'!K12+'TRT 2006'!J30)</f>
        <v>299201.13</v>
      </c>
      <c r="K30" s="19">
        <f>SUM('R 2006'!K28+'CR 2006'!L12+'TRT 2006'!K30)</f>
        <v>291965.93</v>
      </c>
      <c r="L30" s="19">
        <f>SUM('R 2006'!L28+'CR 2006'!M12+'TRT 2006'!L30)</f>
        <v>479864.56999999995</v>
      </c>
      <c r="M30" s="19">
        <f>SUM('R 2006'!M28+'CR 2006'!N12+'TRT 2006'!M30)</f>
        <v>373470.8</v>
      </c>
      <c r="N30" s="81">
        <f t="shared" si="0"/>
        <v>3880802.82</v>
      </c>
      <c r="O30" s="19">
        <f>SUM('TOTAL 2005'!B30:L30)</f>
        <v>3062948.32</v>
      </c>
      <c r="P30" s="84">
        <f t="shared" si="1"/>
        <v>0.2670154421671731</v>
      </c>
      <c r="Q30" s="22">
        <f t="shared" si="2"/>
        <v>6.0181563187342808E-2</v>
      </c>
    </row>
    <row r="31" spans="1:17">
      <c r="A31" s="92" t="s">
        <v>40</v>
      </c>
      <c r="B31" s="19">
        <f>SUM('R 2006'!B29+'TRT 2006'!B31)</f>
        <v>3959.93</v>
      </c>
      <c r="C31" s="19">
        <f>SUM('R 2006'!C29+'TRT 2006'!C31)</f>
        <v>13682.849999999999</v>
      </c>
      <c r="D31" s="19">
        <f>SUM('R 2006'!D29+'TRT 2006'!D31)</f>
        <v>2251.5100000000002</v>
      </c>
      <c r="E31" s="19">
        <f>SUM('R 2006'!E29+'TRT 2006'!E31)</f>
        <v>1493.5</v>
      </c>
      <c r="F31" s="19">
        <f>SUM('R 2006'!F29+'TRT 2006'!F31)</f>
        <v>9209.5299999999988</v>
      </c>
      <c r="G31" s="19">
        <f>SUM('R 2006'!G29+'TRT 2006'!G31)</f>
        <v>4712.12</v>
      </c>
      <c r="H31" s="19">
        <f>SUM('R 2006'!H29+'TRT 2006'!H31)</f>
        <v>7657.7999999999993</v>
      </c>
      <c r="I31" s="19">
        <f>SUM('R 2006'!I29+'TRT 2006'!I31)</f>
        <v>36600.129999999997</v>
      </c>
      <c r="J31" s="19">
        <f>SUM('R 2006'!J29+'TRT 2006'!J31)</f>
        <v>5561.57</v>
      </c>
      <c r="K31" s="19">
        <f>SUM('R 2006'!K29+'TRT 2006'!K31)</f>
        <v>7332.7</v>
      </c>
      <c r="L31" s="19">
        <f>SUM('R 2006'!L29+'TRT 2006'!L31)</f>
        <v>39333.25</v>
      </c>
      <c r="M31" s="19">
        <f>SUM('R 2006'!M29+'TRT 2006'!M31)</f>
        <v>11082.23</v>
      </c>
      <c r="N31" s="81">
        <f t="shared" si="0"/>
        <v>142877.12000000002</v>
      </c>
      <c r="O31" s="19">
        <f>SUM('TOTAL 2005'!B31:L31)</f>
        <v>125835.66</v>
      </c>
      <c r="P31" s="84">
        <f t="shared" si="1"/>
        <v>0.13542631715048037</v>
      </c>
      <c r="Q31" s="22">
        <f t="shared" si="2"/>
        <v>2.2156674338083384E-3</v>
      </c>
    </row>
    <row r="32" spans="1:17" ht="13" thickBot="1">
      <c r="A32" s="93" t="s">
        <v>41</v>
      </c>
      <c r="B32" s="20">
        <f>SUM('R 2006'!B30+'CR 2006'!C13+'TRT 2006'!B32)</f>
        <v>183581.64</v>
      </c>
      <c r="C32" s="20">
        <f>SUM('R 2006'!C30+'CR 2006'!D13+'TRT 2006'!C32)</f>
        <v>288565.73</v>
      </c>
      <c r="D32" s="20">
        <f>SUM('R 2006'!D30+'CR 2006'!E13+'TRT 2006'!D32)</f>
        <v>197131.98</v>
      </c>
      <c r="E32" s="20">
        <f>SUM('R 2006'!E30+'CR 2006'!F13+'TRT 2006'!E32)</f>
        <v>202101.59</v>
      </c>
      <c r="F32" s="20">
        <f>SUM('R 2006'!F30+'CR 2006'!G13+'TRT 2006'!F32)</f>
        <v>340131.27999999997</v>
      </c>
      <c r="G32" s="20">
        <f>SUM('R 2006'!G30+'CR 2006'!H13+'TRT 2006'!G32)</f>
        <v>197344.82</v>
      </c>
      <c r="H32" s="20">
        <f>SUM('R 2006'!H30+'CR 2006'!I13+'TRT 2006'!H32)</f>
        <v>199570.36</v>
      </c>
      <c r="I32" s="20">
        <f>SUM('R 2006'!I30+'CR 2006'!J13+'TRT 2006'!I32)</f>
        <v>340659.33</v>
      </c>
      <c r="J32" s="20">
        <f>SUM('R 2006'!J30+'CR 2006'!K13+'TRT 2006'!J32)</f>
        <v>233408.37</v>
      </c>
      <c r="K32" s="20">
        <f>SUM('R 2006'!K30+'CR 2006'!L13+'TRT 2006'!K32)</f>
        <v>246286.06</v>
      </c>
      <c r="L32" s="20">
        <f>SUM('R 2006'!L30+'CR 2006'!M13+'TRT 2006'!L32)</f>
        <v>350092.57999999996</v>
      </c>
      <c r="M32" s="20">
        <f>SUM('R 2006'!M30+'CR 2006'!N13+'TRT 2006'!M32)</f>
        <v>229624.28999999998</v>
      </c>
      <c r="N32" s="82">
        <f t="shared" si="0"/>
        <v>3008498.0300000003</v>
      </c>
      <c r="O32" s="19">
        <f>SUM('TOTAL 2005'!B32:L32)</f>
        <v>2448805.4300000002</v>
      </c>
      <c r="P32" s="85">
        <f t="shared" si="1"/>
        <v>0.22855739910704131</v>
      </c>
      <c r="Q32" s="21">
        <f t="shared" si="2"/>
        <v>4.6654293631811311E-2</v>
      </c>
    </row>
    <row r="33" spans="1:17" s="154" customFormat="1" ht="14" thickTop="1" thickBot="1">
      <c r="A33" s="162" t="s">
        <v>54</v>
      </c>
      <c r="B33" s="168">
        <f>SUM(B4:B32)</f>
        <v>3453731.4600000004</v>
      </c>
      <c r="C33" s="164">
        <f t="shared" ref="C33:M33" si="3">SUM(C4:C32)</f>
        <v>5488334.1899999995</v>
      </c>
      <c r="D33" s="163">
        <f t="shared" si="3"/>
        <v>5499430.4000000004</v>
      </c>
      <c r="E33" s="163">
        <f t="shared" si="3"/>
        <v>5134642.87</v>
      </c>
      <c r="F33" s="163">
        <f t="shared" si="3"/>
        <v>7741058.9900000012</v>
      </c>
      <c r="G33" s="163">
        <f t="shared" si="3"/>
        <v>4903370.8699999992</v>
      </c>
      <c r="H33" s="165">
        <f t="shared" si="3"/>
        <v>3896572.4999999995</v>
      </c>
      <c r="I33" s="163">
        <f t="shared" si="3"/>
        <v>6435678.830000001</v>
      </c>
      <c r="J33" s="163">
        <f t="shared" si="3"/>
        <v>4706312.2200000007</v>
      </c>
      <c r="K33" s="163">
        <f t="shared" si="3"/>
        <v>5418049.4299999997</v>
      </c>
      <c r="L33" s="163">
        <f t="shared" si="3"/>
        <v>6541981.54</v>
      </c>
      <c r="M33" s="166">
        <f t="shared" si="3"/>
        <v>5265748.93</v>
      </c>
      <c r="N33" s="167">
        <f t="shared" si="0"/>
        <v>64484912.229999997</v>
      </c>
      <c r="O33" s="168">
        <f>SUM('TOTAL 2005'!B33:L33)</f>
        <v>54577790.360000007</v>
      </c>
      <c r="P33" s="169">
        <f t="shared" si="1"/>
        <v>0.18152295658456907</v>
      </c>
      <c r="Q33" s="170">
        <f t="shared" si="2"/>
        <v>1</v>
      </c>
    </row>
    <row r="34" spans="1:17">
      <c r="B34" s="28">
        <f>B33/'TOTAL 2005'!B33-1</f>
        <v>0.14995226644463977</v>
      </c>
      <c r="C34" s="28">
        <f>C33/'TOTAL 2005'!C33-1</f>
        <v>5.7130134326169646E-2</v>
      </c>
      <c r="D34" s="28">
        <f>D33/'TOTAL 2005'!D33-1</f>
        <v>0.20110224294983214</v>
      </c>
      <c r="E34" s="28">
        <f>E33/'TOTAL 2005'!E33-1</f>
        <v>2.6785192773626232E-3</v>
      </c>
      <c r="F34" s="28">
        <f>F33/'TOTAL 2005'!F33-1</f>
        <v>0.20341393572939315</v>
      </c>
      <c r="G34" s="28">
        <f>G33/'TOTAL 2005'!G33-1</f>
        <v>8.7446768289555887E-2</v>
      </c>
      <c r="H34" s="28">
        <f>H33/'TOTAL 2004'!H33-1</f>
        <v>0.11217304162344521</v>
      </c>
      <c r="I34" s="28">
        <f>I33/'TOTAL 2004'!I33-1</f>
        <v>0.18816020099563557</v>
      </c>
      <c r="J34" s="28">
        <f>J33/'TOTAL 2004'!J33-1</f>
        <v>9.7413434520295938E-2</v>
      </c>
      <c r="K34" s="28">
        <f>K33/'TOTAL 2004'!K33-1</f>
        <v>0.23658647821911916</v>
      </c>
      <c r="L34" s="28">
        <f>L33/'TOTAL 2004'!L33-1</f>
        <v>0.23258190579804716</v>
      </c>
      <c r="M34" s="28">
        <f>M33/'TOTAL 2004'!M33-1</f>
        <v>0.40874862784926336</v>
      </c>
      <c r="N34" s="28"/>
    </row>
    <row r="37" spans="1:17">
      <c r="F37" s="100"/>
    </row>
    <row r="38" spans="1:17">
      <c r="F38" s="100"/>
    </row>
  </sheetData>
  <mergeCells count="1">
    <mergeCell ref="A1:Q1"/>
  </mergeCells>
  <phoneticPr fontId="0" type="noConversion"/>
  <pageMargins left="0" right="0" top="1" bottom="1" header="0.5" footer="0.5"/>
  <pageSetup scale="86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theme="1"/>
  </sheetPr>
  <dimension ref="A1:Q40"/>
  <sheetViews>
    <sheetView workbookViewId="0">
      <selection activeCell="P43" sqref="P43"/>
    </sheetView>
  </sheetViews>
  <sheetFormatPr baseColWidth="10" defaultColWidth="8.83203125" defaultRowHeight="12" x14ac:dyDescent="0"/>
  <cols>
    <col min="1" max="1" width="11.33203125" bestFit="1" customWidth="1"/>
    <col min="7" max="7" width="11.1640625" bestFit="1" customWidth="1"/>
    <col min="14" max="15" width="9.5" bestFit="1" customWidth="1"/>
  </cols>
  <sheetData>
    <row r="1" spans="1:17" ht="21">
      <c r="A1" s="691" t="s">
        <v>71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</row>
    <row r="2" spans="1:17" ht="13" thickBot="1">
      <c r="A2" s="47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3" thickBot="1">
      <c r="A3" s="95" t="s">
        <v>42</v>
      </c>
      <c r="B3" s="6" t="s">
        <v>2</v>
      </c>
      <c r="C3" s="6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8" t="s">
        <v>13</v>
      </c>
      <c r="N3" s="97" t="s">
        <v>74</v>
      </c>
      <c r="O3" s="6" t="s">
        <v>63</v>
      </c>
      <c r="P3" s="98" t="s">
        <v>16</v>
      </c>
      <c r="Q3" s="18" t="s">
        <v>58</v>
      </c>
    </row>
    <row r="4" spans="1:17">
      <c r="A4" s="92" t="s">
        <v>17</v>
      </c>
      <c r="B4" s="36">
        <f>SUM('R 2005'!B4+'TRT 2005'!B4)</f>
        <v>3697.84</v>
      </c>
      <c r="C4" s="36">
        <f>SUM('R 2005'!C4+'TRT 2005'!C4)</f>
        <v>25029.79</v>
      </c>
      <c r="D4" s="36">
        <f>SUM('R 2005'!D4+'TRT 2005'!D4)</f>
        <v>8197.61</v>
      </c>
      <c r="E4" s="36">
        <f>SUM('R 2005'!E4+'TRT 2005'!E4)</f>
        <v>2339.9</v>
      </c>
      <c r="F4" s="36">
        <f>SUM('R 2005'!F4+'TRT 2005'!F4)</f>
        <v>24792.959999999999</v>
      </c>
      <c r="G4" s="36">
        <f>SUM('R 2005'!G4+'TRT 2005'!G4)</f>
        <v>4213.8500000000004</v>
      </c>
      <c r="H4" s="36">
        <f>SUM('R 2005'!H4+'TRT 2005'!H4)</f>
        <v>4259.18</v>
      </c>
      <c r="I4" s="36">
        <f>SUM('R 2005'!I4+'TRT 2005'!I4)</f>
        <v>36446.980000000003</v>
      </c>
      <c r="J4" s="36">
        <f>SUM('R 2005'!J4+'TRT 2005'!J4)</f>
        <v>10267.02</v>
      </c>
      <c r="K4" s="36">
        <f>SUM('R 2005'!K4+'TRT 2005'!K4)</f>
        <v>5072.46</v>
      </c>
      <c r="L4" s="36">
        <f>SUM('R 2005'!L4+'TRT 2005'!L4)</f>
        <v>39413.57</v>
      </c>
      <c r="M4" s="36">
        <f>SUM('R 2005'!M4+'TRT 2005'!M4)</f>
        <v>7861.7300000000005</v>
      </c>
      <c r="N4" s="81">
        <f t="shared" ref="N4:N33" si="0">SUM(B4:M4)</f>
        <v>171592.89000000004</v>
      </c>
      <c r="O4" s="19">
        <f>SUM('TOTAL 2004'!B4:M4)</f>
        <v>148230.80000000002</v>
      </c>
      <c r="P4" s="84">
        <f t="shared" ref="P4:P33" si="1">N4/O4-1</f>
        <v>0.157606179012729</v>
      </c>
      <c r="Q4" s="22">
        <f>N4/$N$33</f>
        <v>2.9147048391277427E-3</v>
      </c>
    </row>
    <row r="5" spans="1:17">
      <c r="A5" s="92" t="s">
        <v>18</v>
      </c>
      <c r="B5" s="19">
        <f>'R 2005'!B5+'TRT 2005'!B5</f>
        <v>20630.189999999999</v>
      </c>
      <c r="C5" s="19">
        <f>'R 2005'!C5+'TRT 2005'!C5</f>
        <v>43721.5</v>
      </c>
      <c r="D5" s="19">
        <f>'R 2005'!D5+'TRT 2005'!D5</f>
        <v>21029.599999999999</v>
      </c>
      <c r="E5" s="19">
        <f>'R 2005'!E5+'TRT 2005'!E5</f>
        <v>23466.07</v>
      </c>
      <c r="F5" s="19">
        <f>'R 2005'!F5+'TRT 2005'!F5</f>
        <v>40079.97</v>
      </c>
      <c r="G5" s="19">
        <f>'R 2005'!G5+'TRT 2005'!G5</f>
        <v>27923.71</v>
      </c>
      <c r="H5" s="19">
        <f>'R 2005'!H5+'TRT 2005'!H5</f>
        <v>24500.579999999998</v>
      </c>
      <c r="I5" s="19">
        <f>'R 2005'!I5+'TRT 2005'!I5</f>
        <v>51247.26</v>
      </c>
      <c r="J5" s="19">
        <f>'R 2005'!J5+'TRT 2005'!J5</f>
        <v>33343.949999999997</v>
      </c>
      <c r="K5" s="19">
        <f>'R 2005'!K5+'TRT 2005'!K5</f>
        <v>27666.46</v>
      </c>
      <c r="L5" s="19">
        <f>'R 2005'!L5+'TRT 2005'!L5</f>
        <v>51395.99</v>
      </c>
      <c r="M5" s="19">
        <f>'R 2005'!M5+'TRT 2005'!M5</f>
        <v>28465.25</v>
      </c>
      <c r="N5" s="81">
        <f t="shared" si="0"/>
        <v>393470.53</v>
      </c>
      <c r="O5" s="19">
        <f>SUM('TOTAL 2004'!B5:M5)</f>
        <v>378857.97000000003</v>
      </c>
      <c r="P5" s="84">
        <f t="shared" si="1"/>
        <v>3.8570021372389185E-2</v>
      </c>
      <c r="Q5" s="22">
        <f t="shared" ref="Q5:Q33" si="2">N5/$N$33</f>
        <v>6.6835546498759798E-3</v>
      </c>
    </row>
    <row r="6" spans="1:17">
      <c r="A6" s="92" t="s">
        <v>19</v>
      </c>
      <c r="B6" s="19">
        <f>SUM('R 2005'!B6+'TRT 2005'!B6)</f>
        <v>51791.27</v>
      </c>
      <c r="C6" s="19">
        <f>SUM('R 2005'!C6+'TRT 2005'!C6)</f>
        <v>108117.45000000001</v>
      </c>
      <c r="D6" s="19">
        <f>SUM('R 2005'!D6+'TRT 2005'!D6)</f>
        <v>79898.16</v>
      </c>
      <c r="E6" s="19">
        <f>SUM('R 2005'!E6+'TRT 2005'!E6)</f>
        <v>64964.159999999996</v>
      </c>
      <c r="F6" s="19">
        <f>SUM('R 2005'!F6+'TRT 2005'!F6)</f>
        <v>117596.24</v>
      </c>
      <c r="G6" s="19">
        <f>SUM('R 2005'!G6+'TRT 2005'!G6)</f>
        <v>70915.12</v>
      </c>
      <c r="H6" s="19">
        <f>SUM('R 2005'!H6+'TRT 2005'!H6)</f>
        <v>61936.58</v>
      </c>
      <c r="I6" s="19">
        <f>SUM('R 2005'!I6+'TRT 2005'!I6)</f>
        <v>135396.59</v>
      </c>
      <c r="J6" s="19">
        <f>SUM('R 2005'!J6+'TRT 2005'!J6)</f>
        <v>87159.790000000008</v>
      </c>
      <c r="K6" s="19">
        <f>SUM('R 2005'!K6+'TRT 2005'!K6)</f>
        <v>86577.87</v>
      </c>
      <c r="L6" s="19">
        <f>SUM('R 2005'!L6+'TRT 2005'!L6)</f>
        <v>133065.35</v>
      </c>
      <c r="M6" s="19">
        <f>SUM('R 2005'!M6+'TRT 2005'!M6)</f>
        <v>78319.100000000006</v>
      </c>
      <c r="N6" s="81">
        <f t="shared" si="0"/>
        <v>1075737.68</v>
      </c>
      <c r="O6" s="19">
        <f>SUM('TOTAL 2004'!B6:M6)</f>
        <v>991425.45999999985</v>
      </c>
      <c r="P6" s="84">
        <f t="shared" si="1"/>
        <v>8.5041410980105425E-2</v>
      </c>
      <c r="Q6" s="22">
        <f t="shared" si="2"/>
        <v>1.8272655828152615E-2</v>
      </c>
    </row>
    <row r="7" spans="1:17">
      <c r="A7" s="92" t="s">
        <v>20</v>
      </c>
      <c r="B7" s="19">
        <f>SUM('R 2005'!B7+'TRT 2005'!B7)</f>
        <v>18312.310000000001</v>
      </c>
      <c r="C7" s="19">
        <f>SUM('R 2005'!C7+'TRT 2005'!C7)</f>
        <v>28431.040000000001</v>
      </c>
      <c r="D7" s="19">
        <f>SUM('R 2005'!D7+'TRT 2005'!D7)</f>
        <v>16709.23</v>
      </c>
      <c r="E7" s="19">
        <f>SUM('R 2005'!E7+'TRT 2005'!E7)</f>
        <v>12962.09</v>
      </c>
      <c r="F7" s="19">
        <f>SUM('R 2005'!F7+'TRT 2005'!F7)</f>
        <v>26217.809999999998</v>
      </c>
      <c r="G7" s="19">
        <f>SUM('R 2005'!G7+'TRT 2005'!G7)</f>
        <v>37581.01</v>
      </c>
      <c r="H7" s="19">
        <f>SUM('R 2005'!H7+'TRT 2005'!H7)</f>
        <v>22171.08</v>
      </c>
      <c r="I7" s="19">
        <f>SUM('R 2005'!I7+'TRT 2005'!I7)</f>
        <v>42107.11</v>
      </c>
      <c r="J7" s="19">
        <f>SUM('R 2005'!J7+'TRT 2005'!J7)</f>
        <v>22404.83</v>
      </c>
      <c r="K7" s="19">
        <f>SUM('R 2005'!K7+'TRT 2005'!K7)</f>
        <v>23436.239999999998</v>
      </c>
      <c r="L7" s="19">
        <f>SUM('R 2005'!L7+'TRT 2005'!L7)</f>
        <v>49740.800000000003</v>
      </c>
      <c r="M7" s="19">
        <f>SUM('R 2005'!M7+'TRT 2005'!M7)</f>
        <v>19276.54</v>
      </c>
      <c r="N7" s="81">
        <f t="shared" si="0"/>
        <v>319350.08999999997</v>
      </c>
      <c r="O7" s="19">
        <f>SUM('TOTAL 2004'!B7:M7)</f>
        <v>300142.83</v>
      </c>
      <c r="P7" s="84">
        <f t="shared" si="1"/>
        <v>6.3993732583916607E-2</v>
      </c>
      <c r="Q7" s="22">
        <f t="shared" si="2"/>
        <v>5.4245327571490866E-3</v>
      </c>
    </row>
    <row r="8" spans="1:17">
      <c r="A8" s="92" t="s">
        <v>21</v>
      </c>
      <c r="B8" s="19">
        <f>SUM('R 2005'!B8+'TRT 2005'!B8)</f>
        <v>4022.47</v>
      </c>
      <c r="C8" s="19">
        <f>SUM('R 2005'!C8+'TRT 2005'!C8)</f>
        <v>1934.37</v>
      </c>
      <c r="D8" s="19">
        <f>SUM('R 2005'!D8+'TRT 2005'!D8)</f>
        <v>3215.79</v>
      </c>
      <c r="E8" s="19">
        <f>SUM('R 2005'!E8+'TRT 2005'!E8)</f>
        <v>62.72</v>
      </c>
      <c r="F8" s="19">
        <f>SUM('R 2005'!F8+'TRT 2005'!F8)</f>
        <v>3130.5</v>
      </c>
      <c r="G8" s="19">
        <f>SUM('R 2005'!G8+'TRT 2005'!G8)</f>
        <v>733.93000000000006</v>
      </c>
      <c r="H8" s="19">
        <f>SUM('R 2005'!H8+'TRT 2005'!H8)</f>
        <v>25906.67</v>
      </c>
      <c r="I8" s="19">
        <f>SUM('R 2005'!I8+'TRT 2005'!I8)</f>
        <v>11171.61</v>
      </c>
      <c r="J8" s="19">
        <f>SUM('R 2005'!J8+'TRT 2005'!J8)</f>
        <v>13264.62</v>
      </c>
      <c r="K8" s="19">
        <f>SUM('R 2005'!K8+'TRT 2005'!K8)</f>
        <v>4153.01</v>
      </c>
      <c r="L8" s="19">
        <f>SUM('R 2005'!L8+'TRT 2005'!L8)</f>
        <v>13890.029999999999</v>
      </c>
      <c r="M8" s="19">
        <f>SUM('R 2005'!M8+'TRT 2005'!M8)</f>
        <v>4086.33</v>
      </c>
      <c r="N8" s="81">
        <f t="shared" si="0"/>
        <v>85572.05</v>
      </c>
      <c r="O8" s="19">
        <f>SUM('TOTAL 2004'!B8:M8)</f>
        <v>69318.28</v>
      </c>
      <c r="P8" s="84">
        <f t="shared" si="1"/>
        <v>0.23448028427710566</v>
      </c>
      <c r="Q8" s="22">
        <f t="shared" si="2"/>
        <v>1.4535408094652471E-3</v>
      </c>
    </row>
    <row r="9" spans="1:17">
      <c r="A9" s="92" t="s">
        <v>22</v>
      </c>
      <c r="B9" s="19">
        <f>SUM('R 2005'!B9+'CR 2005'!C4+'TRT 2005'!B9)</f>
        <v>166810.63</v>
      </c>
      <c r="C9" s="19">
        <f>SUM('R 2005'!C9+'CR 2005'!D4+'TRT 2005'!C9)</f>
        <v>280124.77</v>
      </c>
      <c r="D9" s="19">
        <f>SUM('R 2005'!D9+'CR 2005'!E4+'TRT 2005'!D9)</f>
        <v>191894.34</v>
      </c>
      <c r="E9" s="19">
        <f>SUM('R 2005'!E9+'CR 2005'!F4+'TRT 2005'!E9)</f>
        <v>244988.27000000002</v>
      </c>
      <c r="F9" s="19">
        <f>SUM('R 2005'!F9+'CR 2005'!G4+'TRT 2005'!F9)</f>
        <v>247913.27000000002</v>
      </c>
      <c r="G9" s="19">
        <f>SUM('R 2005'!G9+'CR 2005'!H4+'TRT 2005'!G9)</f>
        <v>239035.33000000002</v>
      </c>
      <c r="H9" s="19">
        <f>SUM('R 2005'!H9+'CR 2005'!I4+'TRT 2005'!H9)</f>
        <v>241730.08</v>
      </c>
      <c r="I9" s="19">
        <f>SUM('R 2005'!I9+'CR 2005'!J4+'TRT 2005'!I9)</f>
        <v>335098.25</v>
      </c>
      <c r="J9" s="19">
        <f>SUM('R 2005'!J9+'CR 2005'!K4+'TRT 2005'!J9)</f>
        <v>297274.93</v>
      </c>
      <c r="K9" s="19">
        <f>SUM('R 2005'!K9+'CR 2005'!L4+'TRT 2005'!K9)</f>
        <v>251202.76</v>
      </c>
      <c r="L9" s="19">
        <f>SUM('R 2005'!L9+'CR 2005'!M4+'TRT 2005'!L9)</f>
        <v>253690.16999999998</v>
      </c>
      <c r="M9" s="19">
        <f>SUM('R 2005'!M9+'CR 2005'!N4+'TRT 2005'!M9)</f>
        <v>284280.81</v>
      </c>
      <c r="N9" s="81">
        <f t="shared" si="0"/>
        <v>3034043.61</v>
      </c>
      <c r="O9" s="19">
        <f>SUM('TOTAL 2004'!B9:M9)</f>
        <v>2769610.52</v>
      </c>
      <c r="P9" s="84">
        <f t="shared" si="1"/>
        <v>9.547663402145079E-2</v>
      </c>
      <c r="Q9" s="22">
        <f t="shared" si="2"/>
        <v>5.1536760014891082E-2</v>
      </c>
    </row>
    <row r="10" spans="1:17">
      <c r="A10" s="92" t="s">
        <v>23</v>
      </c>
      <c r="B10" s="19">
        <f>SUM('R 2005'!B10+'TRT 2005'!B10+'CR 2005'!C5)</f>
        <v>6734.38</v>
      </c>
      <c r="C10" s="19">
        <f>SUM('R 2005'!C10+'TRT 2005'!C10+'CR 2005'!D5)</f>
        <v>14103.9</v>
      </c>
      <c r="D10" s="19">
        <f>SUM('R 2005'!D10+'TRT 2005'!D10+'CR 2005'!E5)</f>
        <v>6990.26</v>
      </c>
      <c r="E10" s="19">
        <f>SUM('R 2005'!E10+'TRT 2005'!E10+'CR 2005'!F5)</f>
        <v>2923.13</v>
      </c>
      <c r="F10" s="19">
        <f>SUM('R 2005'!F10+'TRT 2005'!F10+'CR 2005'!G5)</f>
        <v>13760.64</v>
      </c>
      <c r="G10" s="19">
        <f>SUM('R 2005'!G10+'TRT 2005'!G10+'CR 2005'!H5)</f>
        <v>9997.7999999999993</v>
      </c>
      <c r="H10" s="19">
        <f>SUM('R 2005'!H10+'TRT 2005'!H10+'CR 2005'!I5)</f>
        <v>12089.26</v>
      </c>
      <c r="I10" s="19">
        <f>SUM('R 2005'!I10+'TRT 2005'!I10+'CR 2005'!J5)</f>
        <v>21754.5</v>
      </c>
      <c r="J10" s="19">
        <f>SUM('R 2005'!J10+'TRT 2005'!J10+'CR 2005'!K5)</f>
        <v>10489.25</v>
      </c>
      <c r="K10" s="19">
        <f>SUM('R 2005'!K10+'TRT 2005'!K10+'CR 2005'!L5)</f>
        <v>9349.380000000001</v>
      </c>
      <c r="L10" s="19">
        <f>SUM('R 2005'!L10+'TRT 2005'!L10+'CR 2005'!M5)</f>
        <v>15884.89</v>
      </c>
      <c r="M10" s="19">
        <f>SUM('R 2005'!M10+'TRT 2005'!M10+'CR 2005'!N5)</f>
        <v>9055.34</v>
      </c>
      <c r="N10" s="81">
        <f t="shared" si="0"/>
        <v>133132.73000000001</v>
      </c>
      <c r="O10" s="19">
        <f>SUM('TOTAL 2004'!B10:M10)</f>
        <v>107742.14</v>
      </c>
      <c r="P10" s="84">
        <f t="shared" si="1"/>
        <v>0.23566071733863847</v>
      </c>
      <c r="Q10" s="22">
        <f t="shared" si="2"/>
        <v>2.2614142834081713E-3</v>
      </c>
    </row>
    <row r="11" spans="1:17">
      <c r="A11" s="92" t="s">
        <v>51</v>
      </c>
      <c r="B11" s="19">
        <f>'TRT 2005'!B11</f>
        <v>11596.26</v>
      </c>
      <c r="C11" s="19">
        <f>'TRT 2005'!C11</f>
        <v>10287</v>
      </c>
      <c r="D11" s="19">
        <f>'TRT 2005'!D11</f>
        <v>2822</v>
      </c>
      <c r="E11" s="19">
        <f>'TRT 2005'!E11</f>
        <v>8024</v>
      </c>
      <c r="F11" s="19">
        <f>'TRT 2005'!F11</f>
        <v>11467</v>
      </c>
      <c r="G11" s="19">
        <f>'TRT 2005'!G11</f>
        <v>6913</v>
      </c>
      <c r="H11" s="19">
        <f>'TRT 2005'!H11</f>
        <v>30202</v>
      </c>
      <c r="I11" s="19">
        <f>'TRT 2005'!I11</f>
        <v>17965</v>
      </c>
      <c r="J11" s="19">
        <f>'TRT 2005'!J11</f>
        <v>19391</v>
      </c>
      <c r="K11" s="19">
        <f>'TRT 2005'!K11</f>
        <v>24416</v>
      </c>
      <c r="L11" s="19">
        <f>'TRT 2005'!L11</f>
        <v>18769</v>
      </c>
      <c r="M11" s="19">
        <f>'TRT 2005'!M11</f>
        <v>7079</v>
      </c>
      <c r="N11" s="81">
        <f t="shared" si="0"/>
        <v>168931.26</v>
      </c>
      <c r="O11" s="19">
        <f>SUM('TOTAL 2004'!B11:M11)</f>
        <v>137338.03</v>
      </c>
      <c r="P11" s="84">
        <f t="shared" si="1"/>
        <v>0.23003992412007079</v>
      </c>
      <c r="Q11" s="22">
        <f t="shared" si="2"/>
        <v>2.8694939574824274E-3</v>
      </c>
    </row>
    <row r="12" spans="1:17">
      <c r="A12" s="92" t="s">
        <v>24</v>
      </c>
      <c r="B12" s="19">
        <f>SUM('R 2005'!B11+'TRT 2005'!B12)</f>
        <v>7946.05</v>
      </c>
      <c r="C12" s="19">
        <f>SUM('R 2005'!C11+'TRT 2005'!C12)</f>
        <v>26601.23</v>
      </c>
      <c r="D12" s="19">
        <f>SUM('R 2005'!D11+'TRT 2005'!D12)</f>
        <v>13805.16</v>
      </c>
      <c r="E12" s="19">
        <f>SUM('R 2005'!E11+'TRT 2005'!E12)</f>
        <v>9690.09</v>
      </c>
      <c r="F12" s="19">
        <f>SUM('R 2005'!F11+'TRT 2005'!F12)</f>
        <v>27540.080000000002</v>
      </c>
      <c r="G12" s="19">
        <f>SUM('R 2005'!G11+'TRT 2005'!G12)</f>
        <v>25767.19</v>
      </c>
      <c r="H12" s="19">
        <f>SUM('R 2005'!H11+'TRT 2005'!H12)</f>
        <v>78946.02</v>
      </c>
      <c r="I12" s="19">
        <f>SUM('R 2005'!I11+'TRT 2005'!I12)</f>
        <v>114079.71</v>
      </c>
      <c r="J12" s="19">
        <f>SUM('R 2005'!J11+'TRT 2005'!J12)</f>
        <v>102000.95999999999</v>
      </c>
      <c r="K12" s="19">
        <f>SUM('R 2005'!K11+'TRT 2005'!K12)</f>
        <v>81578.84</v>
      </c>
      <c r="L12" s="19">
        <f>SUM('R 2005'!L11+'TRT 2005'!L12)</f>
        <v>137891.69</v>
      </c>
      <c r="M12" s="19">
        <f>SUM('R 2005'!M11+'TRT 2005'!M12)</f>
        <v>64352.979999999996</v>
      </c>
      <c r="N12" s="81">
        <f t="shared" si="0"/>
        <v>690200</v>
      </c>
      <c r="O12" s="19">
        <f>SUM('TOTAL 2004'!B12:M12)</f>
        <v>628698.56999999995</v>
      </c>
      <c r="P12" s="84">
        <f t="shared" si="1"/>
        <v>9.7823397307870597E-2</v>
      </c>
      <c r="Q12" s="22">
        <f t="shared" si="2"/>
        <v>1.1723849863277945E-2</v>
      </c>
    </row>
    <row r="13" spans="1:17">
      <c r="A13" s="92" t="s">
        <v>59</v>
      </c>
      <c r="B13" s="19">
        <f>SUM('R 2005'!B12+'CR 2005'!C6+'TRT 2005'!B13)</f>
        <v>53596.07</v>
      </c>
      <c r="C13" s="19">
        <f>SUM('R 2005'!C12+'CR 2005'!D6+'TRT 2005'!C13)</f>
        <v>62313.8</v>
      </c>
      <c r="D13" s="19">
        <f>SUM('R 2005'!D12+'CR 2005'!E6+'TRT 2005'!D13)</f>
        <v>52531.03</v>
      </c>
      <c r="E13" s="19">
        <f>SUM('R 2005'!E12+'CR 2005'!F6+'TRT 2005'!E13)</f>
        <v>122430.77</v>
      </c>
      <c r="F13" s="19">
        <f>SUM('R 2005'!F12+'CR 2005'!G6+'TRT 2005'!F13)</f>
        <v>145252.39000000001</v>
      </c>
      <c r="G13" s="19">
        <f>SUM('R 2005'!G12+'CR 2005'!H6+'TRT 2005'!G13)</f>
        <v>142858.43</v>
      </c>
      <c r="H13" s="19">
        <f>SUM('R 2005'!H12+'CR 2005'!I6+'TRT 2005'!H13)</f>
        <v>139707.19</v>
      </c>
      <c r="I13" s="19">
        <f>SUM('R 2005'!I12+'CR 2005'!J6+'TRT 2005'!I13)</f>
        <v>161916.10999999999</v>
      </c>
      <c r="J13" s="19">
        <f>SUM('R 2005'!J12+'CR 2005'!K6+'TRT 2005'!J13)</f>
        <v>140238.49</v>
      </c>
      <c r="K13" s="19">
        <f>SUM('R 2005'!K12+'CR 2005'!L6+'TRT 2005'!K13)</f>
        <v>74746.87</v>
      </c>
      <c r="L13" s="19">
        <f>SUM('R 2005'!L12+'CR 2005'!M6+'TRT 2005'!L13)</f>
        <v>92250.44</v>
      </c>
      <c r="M13" s="19">
        <f>SUM('R 2005'!M12+'CR 2005'!N6+'TRT 2005'!M13)</f>
        <v>78712.09</v>
      </c>
      <c r="N13" s="81">
        <f t="shared" si="0"/>
        <v>1266553.68</v>
      </c>
      <c r="O13" s="19">
        <f>SUM('TOTAL 2004'!B13:M13)</f>
        <v>1131264.7500000002</v>
      </c>
      <c r="P13" s="84">
        <f t="shared" si="1"/>
        <v>0.11959086500308591</v>
      </c>
      <c r="Q13" s="22">
        <f t="shared" si="2"/>
        <v>2.1513887551582411E-2</v>
      </c>
    </row>
    <row r="14" spans="1:17">
      <c r="A14" s="92" t="s">
        <v>26</v>
      </c>
      <c r="B14" s="19">
        <f>SUM('R 2005'!B13+'TRT 2005'!B14)</f>
        <v>40296.009999999995</v>
      </c>
      <c r="C14" s="19">
        <f>SUM('R 2005'!C13+'TRT 2005'!C14)</f>
        <v>102183.25</v>
      </c>
      <c r="D14" s="19">
        <f>SUM('R 2005'!D13+'TRT 2005'!D14)</f>
        <v>43258.479999999996</v>
      </c>
      <c r="E14" s="19">
        <f>SUM('R 2005'!E13+'TRT 2005'!E14)</f>
        <v>62233.79</v>
      </c>
      <c r="F14" s="19">
        <f>SUM('R 2005'!F13+'TRT 2005'!F14)</f>
        <v>121352.25</v>
      </c>
      <c r="G14" s="19">
        <f>SUM('R 2005'!G13+'TRT 2005'!G14)</f>
        <v>52536.7</v>
      </c>
      <c r="H14" s="19">
        <f>SUM('R 2005'!H13+'TRT 2005'!H14)</f>
        <v>49402.77</v>
      </c>
      <c r="I14" s="19">
        <f>SUM('R 2005'!I13+'TRT 2005'!I14)</f>
        <v>115103.45000000001</v>
      </c>
      <c r="J14" s="19">
        <f>SUM('R 2005'!J13+'TRT 2005'!J14)</f>
        <v>92152.68</v>
      </c>
      <c r="K14" s="19">
        <f>SUM('R 2005'!K13+'TRT 2005'!K14)</f>
        <v>78131.47</v>
      </c>
      <c r="L14" s="19">
        <f>SUM('R 2005'!L13+'TRT 2005'!L14)</f>
        <v>126910.28</v>
      </c>
      <c r="M14" s="19">
        <f>SUM('R 2005'!M13+'TRT 2005'!M14)</f>
        <v>55513.26</v>
      </c>
      <c r="N14" s="81">
        <f t="shared" si="0"/>
        <v>939074.39000000013</v>
      </c>
      <c r="O14" s="19">
        <f>SUM('TOTAL 2004'!B14:M14)</f>
        <v>832819.11999999988</v>
      </c>
      <c r="P14" s="84">
        <f t="shared" si="1"/>
        <v>0.12758505112130503</v>
      </c>
      <c r="Q14" s="22">
        <f t="shared" si="2"/>
        <v>1.5951270876281256E-2</v>
      </c>
    </row>
    <row r="15" spans="1:17">
      <c r="A15" s="92" t="s">
        <v>27</v>
      </c>
      <c r="B15" s="19">
        <f>SUM('R 2005'!B14+'TRT 2005'!B15)</f>
        <v>4766.5200000000004</v>
      </c>
      <c r="C15" s="19">
        <f>SUM('R 2005'!C14+'TRT 2005'!C15)</f>
        <v>19239.919999999998</v>
      </c>
      <c r="D15" s="19">
        <f>SUM('R 2005'!D14+'TRT 2005'!D15)</f>
        <v>6606.76</v>
      </c>
      <c r="E15" s="19">
        <f>SUM('R 2005'!E14+'TRT 2005'!E15)</f>
        <v>4419.7000000000007</v>
      </c>
      <c r="F15" s="19">
        <f>SUM('R 2005'!F14+'TRT 2005'!F15)</f>
        <v>19472.849999999999</v>
      </c>
      <c r="G15" s="19">
        <f>SUM('R 2005'!G14+'TRT 2005'!G15)</f>
        <v>6551.44</v>
      </c>
      <c r="H15" s="19">
        <f>SUM('R 2005'!H14+'TRT 2005'!H15)</f>
        <v>5872.38</v>
      </c>
      <c r="I15" s="19">
        <f>SUM('R 2005'!I14+'TRT 2005'!I15)</f>
        <v>27209.79</v>
      </c>
      <c r="J15" s="19">
        <f>SUM('R 2005'!J14+'TRT 2005'!J15)</f>
        <v>9012.2799999999988</v>
      </c>
      <c r="K15" s="19">
        <f>SUM('R 2005'!K14+'TRT 2005'!K15)</f>
        <v>6324.7199999999993</v>
      </c>
      <c r="L15" s="19">
        <f>SUM('R 2005'!L14+'TRT 2005'!L15)</f>
        <v>28382.799999999999</v>
      </c>
      <c r="M15" s="19">
        <f>SUM('R 2005'!M14+'TRT 2005'!M15)</f>
        <v>8241.39</v>
      </c>
      <c r="N15" s="81">
        <f t="shared" si="0"/>
        <v>146100.54999999999</v>
      </c>
      <c r="O15" s="19">
        <f>SUM('TOTAL 2004'!B15:M15)</f>
        <v>140306.32</v>
      </c>
      <c r="P15" s="84">
        <f t="shared" si="1"/>
        <v>4.1296999308370275E-2</v>
      </c>
      <c r="Q15" s="22">
        <f t="shared" si="2"/>
        <v>2.4816877907017278E-3</v>
      </c>
    </row>
    <row r="16" spans="1:17">
      <c r="A16" s="92" t="s">
        <v>28</v>
      </c>
      <c r="B16" s="19">
        <f>SUM('R 2005'!B15+'TRT 2005'!B16)</f>
        <v>11193.220000000001</v>
      </c>
      <c r="C16" s="19">
        <f>SUM('R 2005'!C15+'TRT 2005'!C16)</f>
        <v>38796.089999999997</v>
      </c>
      <c r="D16" s="19">
        <f>SUM('R 2005'!D15+'TRT 2005'!D16)</f>
        <v>6095.25</v>
      </c>
      <c r="E16" s="19">
        <f>SUM('R 2005'!E15+'TRT 2005'!E16)</f>
        <v>9406.0999999999985</v>
      </c>
      <c r="F16" s="19">
        <f>SUM('R 2005'!F15+'TRT 2005'!F16)</f>
        <v>26584.95</v>
      </c>
      <c r="G16" s="19">
        <f>SUM('R 2005'!G15+'TRT 2005'!G16)</f>
        <v>21188.55</v>
      </c>
      <c r="H16" s="19">
        <f>SUM('R 2005'!H15+'TRT 2005'!H16)</f>
        <v>37108.559999999998</v>
      </c>
      <c r="I16" s="19">
        <f>SUM('R 2005'!I15+'TRT 2005'!I16)</f>
        <v>81310</v>
      </c>
      <c r="J16" s="19">
        <f>SUM('R 2005'!J15+'TRT 2005'!J16)</f>
        <v>46178.17</v>
      </c>
      <c r="K16" s="19">
        <f>SUM('R 2005'!K15+'TRT 2005'!K16)</f>
        <v>47413.130000000005</v>
      </c>
      <c r="L16" s="19">
        <f>SUM('R 2005'!L15+'TRT 2005'!L16)</f>
        <v>90158.55</v>
      </c>
      <c r="M16" s="19">
        <f>SUM('R 2005'!M15+'TRT 2005'!M16)</f>
        <v>27751.449999999997</v>
      </c>
      <c r="N16" s="81">
        <f t="shared" si="0"/>
        <v>443184.02</v>
      </c>
      <c r="O16" s="19">
        <f>SUM('TOTAL 2004'!B16:M16)</f>
        <v>389533.17</v>
      </c>
      <c r="P16" s="84">
        <f t="shared" si="1"/>
        <v>0.1377311462333235</v>
      </c>
      <c r="Q16" s="22">
        <f t="shared" si="2"/>
        <v>7.5279961058881059E-3</v>
      </c>
    </row>
    <row r="17" spans="1:17">
      <c r="A17" s="92" t="s">
        <v>52</v>
      </c>
      <c r="B17" s="19">
        <f>'TRT 2005'!B17</f>
        <v>2551.91</v>
      </c>
      <c r="C17" s="19">
        <f>'TRT 2005'!C17</f>
        <v>9086.2000000000007</v>
      </c>
      <c r="D17" s="19">
        <f>'TRT 2005'!D17</f>
        <v>3713.33</v>
      </c>
      <c r="E17" s="19">
        <f>'TRT 2005'!E17</f>
        <v>2499.67</v>
      </c>
      <c r="F17" s="19">
        <f>'TRT 2005'!F17</f>
        <v>10482.549999999999</v>
      </c>
      <c r="G17" s="19">
        <f>'TRT 2005'!G17</f>
        <v>4183.18</v>
      </c>
      <c r="H17" s="19">
        <f>'TRT 2005'!H17</f>
        <v>5078.3900000000003</v>
      </c>
      <c r="I17" s="19">
        <f>'TRT 2005'!I17</f>
        <v>13451.49</v>
      </c>
      <c r="J17" s="19">
        <f>'TRT 2005'!J17</f>
        <v>11188.26</v>
      </c>
      <c r="K17" s="19">
        <f>'TRT 2005'!K17</f>
        <v>7657.9</v>
      </c>
      <c r="L17" s="19">
        <f>'TRT 2005'!L17</f>
        <v>12304.35</v>
      </c>
      <c r="M17" s="19">
        <f>'TRT 2005'!M17</f>
        <v>4404.54</v>
      </c>
      <c r="N17" s="81">
        <f t="shared" si="0"/>
        <v>86601.77</v>
      </c>
      <c r="O17" s="19">
        <f>SUM('TOTAL 2004'!B17:M17)</f>
        <v>83830.95</v>
      </c>
      <c r="P17" s="84">
        <f t="shared" si="1"/>
        <v>3.3052470477789031E-2</v>
      </c>
      <c r="Q17" s="22">
        <f t="shared" si="2"/>
        <v>1.4710318014693252E-3</v>
      </c>
    </row>
    <row r="18" spans="1:17">
      <c r="A18" s="92" t="s">
        <v>29</v>
      </c>
      <c r="B18" s="19">
        <f>SUM('R 2005'!B16+'CR 2005'!C7+'TRT 2005'!B18)</f>
        <v>1130.1499999999999</v>
      </c>
      <c r="C18" s="19">
        <f>SUM('R 2005'!C16+'CR 2005'!D7+'TRT 2005'!C18)</f>
        <v>4655.97</v>
      </c>
      <c r="D18" s="19">
        <f>SUM('R 2005'!D16+'CR 2005'!E7+'TRT 2005'!D18)</f>
        <v>1330.37</v>
      </c>
      <c r="E18" s="19">
        <f>SUM('R 2005'!E16+'CR 2005'!F7+'TRT 2005'!E18)</f>
        <v>1110.8699999999999</v>
      </c>
      <c r="F18" s="19">
        <f>SUM('R 2005'!F16+'CR 2005'!G7+'TRT 2005'!F18)</f>
        <v>4452.63</v>
      </c>
      <c r="G18" s="19">
        <f>SUM('R 2005'!G16+'CR 2005'!H7+'TRT 2005'!G18)</f>
        <v>1192.4100000000001</v>
      </c>
      <c r="H18" s="19">
        <f>SUM('R 2005'!H16+'CR 2005'!I7+'TRT 2005'!H18)</f>
        <v>2452.7800000000002</v>
      </c>
      <c r="I18" s="19">
        <f>SUM('R 2005'!I16+'CR 2005'!J7+'TRT 2005'!I18)</f>
        <v>6857.2099999999991</v>
      </c>
      <c r="J18" s="19">
        <f>SUM('R 2005'!J16+'CR 2005'!K7+'TRT 2005'!J18)</f>
        <v>1492.98</v>
      </c>
      <c r="K18" s="19">
        <f>SUM('R 2005'!K16+'CR 2005'!L7+'TRT 2005'!K18)</f>
        <v>1771.94</v>
      </c>
      <c r="L18" s="19">
        <f>SUM('R 2005'!L16+'CR 2005'!M7+'TRT 2005'!L18)</f>
        <v>6996.93</v>
      </c>
      <c r="M18" s="19">
        <f>SUM('R 2005'!M16+'CR 2005'!N7+'TRT 2005'!M18)</f>
        <v>2295.84</v>
      </c>
      <c r="N18" s="81">
        <f t="shared" si="0"/>
        <v>35740.080000000002</v>
      </c>
      <c r="O18" s="19">
        <f>SUM('TOTAL 2004'!B18:M18)</f>
        <v>33767.279999999999</v>
      </c>
      <c r="P18" s="84">
        <f t="shared" si="1"/>
        <v>5.8423420542015991E-2</v>
      </c>
      <c r="Q18" s="22">
        <f t="shared" si="2"/>
        <v>6.0708683283329881E-4</v>
      </c>
    </row>
    <row r="19" spans="1:17">
      <c r="A19" s="92" t="s">
        <v>53</v>
      </c>
      <c r="B19" s="19">
        <f>'TRT 2005'!B19</f>
        <v>4360.99</v>
      </c>
      <c r="C19" s="19">
        <f>'TRT 2005'!C19</f>
        <v>1894.79</v>
      </c>
      <c r="D19" s="19">
        <f>'TRT 2005'!D19</f>
        <v>89.03</v>
      </c>
      <c r="E19" s="19">
        <f>'TRT 2005'!E19</f>
        <v>890.07</v>
      </c>
      <c r="F19" s="19">
        <f>'TRT 2005'!F19</f>
        <v>623.79</v>
      </c>
      <c r="G19" s="19">
        <f>'TRT 2005'!G19</f>
        <v>0</v>
      </c>
      <c r="H19" s="19">
        <f>'TRT 2005'!H19</f>
        <v>0</v>
      </c>
      <c r="I19" s="19">
        <f>'TRT 2005'!I19</f>
        <v>0</v>
      </c>
      <c r="J19" s="19">
        <f>'TRT 2005'!J19</f>
        <v>0</v>
      </c>
      <c r="K19" s="19">
        <f>'TRT 2005'!K19</f>
        <v>0</v>
      </c>
      <c r="L19" s="19">
        <f>'TRT 2005'!L19</f>
        <v>3734.44</v>
      </c>
      <c r="M19" s="19">
        <f>'TRT 2005'!M19</f>
        <v>36.85</v>
      </c>
      <c r="N19" s="81">
        <f t="shared" si="0"/>
        <v>11629.96</v>
      </c>
      <c r="O19" s="19">
        <f>SUM('TOTAL 2004'!B19:M19)</f>
        <v>11035.699999999999</v>
      </c>
      <c r="P19" s="84">
        <f t="shared" si="1"/>
        <v>5.3848872296274886E-2</v>
      </c>
      <c r="Q19" s="22">
        <f t="shared" si="2"/>
        <v>1.9754839895092433E-4</v>
      </c>
    </row>
    <row r="20" spans="1:17">
      <c r="A20" s="92" t="s">
        <v>30</v>
      </c>
      <c r="B20" s="19">
        <f>SUM('R 2005'!B17+'TRT 2005'!B20)</f>
        <v>6720</v>
      </c>
      <c r="C20" s="19">
        <f>SUM('R 2005'!C17+'TRT 2005'!C20)</f>
        <v>1756.03</v>
      </c>
      <c r="D20" s="19">
        <f>SUM('R 2005'!D17+'TRT 2005'!D20)</f>
        <v>693.25</v>
      </c>
      <c r="E20" s="19">
        <f>SUM('R 2005'!E17+'TRT 2005'!E20)</f>
        <v>415.51</v>
      </c>
      <c r="F20" s="19">
        <f>SUM('R 2005'!F17+'TRT 2005'!F20)</f>
        <v>1315.96</v>
      </c>
      <c r="G20" s="19">
        <f>SUM('R 2005'!G17+'TRT 2005'!G20)</f>
        <v>327.06</v>
      </c>
      <c r="H20" s="19">
        <f>SUM('R 2005'!H17+'TRT 2005'!H20)</f>
        <v>4969.16</v>
      </c>
      <c r="I20" s="19">
        <f>SUM('R 2005'!I17+'TRT 2005'!I20)</f>
        <v>12342.5</v>
      </c>
      <c r="J20" s="19">
        <f>SUM('R 2005'!J17+'TRT 2005'!J20)</f>
        <v>6652.84</v>
      </c>
      <c r="K20" s="19">
        <f>SUM('R 2005'!K17+'TRT 2005'!K20)</f>
        <v>7408</v>
      </c>
      <c r="L20" s="19">
        <f>SUM('R 2005'!L17+'TRT 2005'!L20)</f>
        <v>36811</v>
      </c>
      <c r="M20" s="19">
        <f>SUM('R 2005'!M17+'TRT 2005'!M20)</f>
        <v>734</v>
      </c>
      <c r="N20" s="81">
        <f t="shared" si="0"/>
        <v>80145.31</v>
      </c>
      <c r="O20" s="19">
        <f>SUM('TOTAL 2004'!B20:M20)</f>
        <v>59336.11</v>
      </c>
      <c r="P20" s="84">
        <f t="shared" si="1"/>
        <v>0.35070044193999239</v>
      </c>
      <c r="Q20" s="22">
        <f t="shared" si="2"/>
        <v>1.3613613180032868E-3</v>
      </c>
    </row>
    <row r="21" spans="1:17">
      <c r="A21" s="92" t="s">
        <v>31</v>
      </c>
      <c r="B21" s="19">
        <f>SUM('R 2005'!B18+'CR 2005'!C8+'TRT 2005'!B39+'TRT 2005'!B21)</f>
        <v>1715507.68</v>
      </c>
      <c r="C21" s="19">
        <f>SUM('R 2005'!C18+'CR 2005'!D8+'TRT 2005'!C39+'TRT 2005'!C21)</f>
        <v>2536728.3200000003</v>
      </c>
      <c r="D21" s="19">
        <f>SUM('R 2005'!D18+'CR 2005'!E8+'TRT 2005'!D39+'TRT 2005'!D21)</f>
        <v>2614758.9899999998</v>
      </c>
      <c r="E21" s="19">
        <f>SUM('R 2005'!E18+'CR 2005'!F8+'TRT 2005'!E39+'TRT 2005'!E21)</f>
        <v>2781448.2199999997</v>
      </c>
      <c r="F21" s="19">
        <f>SUM('R 2005'!F18+'CR 2005'!G8+'TRT 2005'!F39+'TRT 2005'!F21)</f>
        <v>2938118.42</v>
      </c>
      <c r="G21" s="19">
        <f>SUM('R 2005'!G18+'CR 2005'!H8+'TRT 2005'!G39+'TRT 2005'!G21)</f>
        <v>2568832.7199999997</v>
      </c>
      <c r="H21" s="19">
        <f>SUM('R 2005'!H18+'CR 2005'!I8+'TRT 2005'!H39+'TRT 2005'!H21)</f>
        <v>2344557.3199999998</v>
      </c>
      <c r="I21" s="19">
        <f>SUM('R 2005'!I18+'CR 2005'!J8+'TRT 2005'!I39+'TRT 2005'!I21)</f>
        <v>3018877.74</v>
      </c>
      <c r="J21" s="19">
        <f>SUM('R 2005'!J18+'CR 2005'!K8+'TRT 2005'!J39+'TRT 2005'!J21)</f>
        <v>2699522.75</v>
      </c>
      <c r="K21" s="19">
        <f>SUM('R 2005'!K18+'CR 2005'!L8+'TRT 2005'!K39+'TRT 2005'!K21)</f>
        <v>2819436.0999999996</v>
      </c>
      <c r="L21" s="19">
        <f>SUM('R 2005'!L18+'CR 2005'!M8+'TRT 2005'!L39+'TRT 2005'!L21)</f>
        <v>2784229.5700000003</v>
      </c>
      <c r="M21" s="19">
        <f>SUM('R 2005'!M18+'CR 2005'!N8+'TRT 2005'!M39+'TRT 2005'!M21)</f>
        <v>2392614.2600000002</v>
      </c>
      <c r="N21" s="81">
        <f t="shared" si="0"/>
        <v>31214632.090000007</v>
      </c>
      <c r="O21" s="19">
        <f>SUM('TOTAL 2004'!B21:M21)</f>
        <v>28478612.899999999</v>
      </c>
      <c r="P21" s="84">
        <f t="shared" si="1"/>
        <v>9.6072768698647115E-2</v>
      </c>
      <c r="Q21" s="22">
        <f t="shared" si="2"/>
        <v>0.53021683593250934</v>
      </c>
    </row>
    <row r="22" spans="1:17">
      <c r="A22" s="92" t="s">
        <v>45</v>
      </c>
      <c r="B22" s="19">
        <f>'R 2005'!B19+'TRT 2005'!B22</f>
        <v>5827.87</v>
      </c>
      <c r="C22" s="19">
        <f>'R 2005'!C19+'TRT 2005'!C22</f>
        <v>14273.04</v>
      </c>
      <c r="D22" s="19">
        <f>'R 2005'!D19+'TRT 2005'!D22</f>
        <v>5135.96</v>
      </c>
      <c r="E22" s="19">
        <f>'R 2005'!E19+'TRT 2005'!E22</f>
        <v>1161.2</v>
      </c>
      <c r="F22" s="19">
        <f>'R 2005'!F19+'TRT 2005'!F22</f>
        <v>21803.45</v>
      </c>
      <c r="G22" s="19">
        <f>'R 2005'!G19+'TRT 2005'!G22</f>
        <v>9685.85</v>
      </c>
      <c r="H22" s="19">
        <f>'R 2005'!H19+'TRT 2005'!H22</f>
        <v>14387.7</v>
      </c>
      <c r="I22" s="19">
        <f>'R 2005'!I19+'TRT 2005'!I22</f>
        <v>52508.09</v>
      </c>
      <c r="J22" s="19">
        <f>'R 2005'!J19+'TRT 2005'!J22</f>
        <v>23680.799999999999</v>
      </c>
      <c r="K22" s="19">
        <f>'R 2005'!K19+'TRT 2005'!K22</f>
        <v>21078.53</v>
      </c>
      <c r="L22" s="19">
        <f>'R 2005'!L19+'TRT 2005'!L22</f>
        <v>59575.15</v>
      </c>
      <c r="M22" s="19">
        <f>'R 2005'!M19+'TRT 2005'!M22</f>
        <v>19439.439999999999</v>
      </c>
      <c r="N22" s="81">
        <f t="shared" si="0"/>
        <v>248557.08</v>
      </c>
      <c r="O22" s="19">
        <f>SUM('TOTAL 2004'!B22:M22)</f>
        <v>230278.41</v>
      </c>
      <c r="P22" s="84">
        <f t="shared" si="1"/>
        <v>7.9376394860464661E-2</v>
      </c>
      <c r="Q22" s="22">
        <f t="shared" si="2"/>
        <v>4.2220311335479065E-3</v>
      </c>
    </row>
    <row r="23" spans="1:17">
      <c r="A23" s="92" t="s">
        <v>32</v>
      </c>
      <c r="B23" s="19">
        <f>SUM('R 2005'!B20+'TRT 2005'!B23)</f>
        <v>2685.07</v>
      </c>
      <c r="C23" s="19">
        <f>SUM('R 2005'!C20+'TRT 2005'!C23)</f>
        <v>19422.47</v>
      </c>
      <c r="D23" s="19">
        <f>SUM('R 2005'!D20+'TRT 2005'!D23)</f>
        <v>8917.85</v>
      </c>
      <c r="E23" s="19">
        <f>SUM('R 2005'!E20+'TRT 2005'!E23)</f>
        <v>3293.04</v>
      </c>
      <c r="F23" s="19">
        <f>SUM('R 2005'!F20+'TRT 2005'!F23)</f>
        <v>18563.93</v>
      </c>
      <c r="G23" s="19">
        <f>SUM('R 2005'!G20+'TRT 2005'!G23)</f>
        <v>3258.58</v>
      </c>
      <c r="H23" s="19">
        <f>SUM('R 2005'!H20+'TRT 2005'!H23)</f>
        <v>2062.27</v>
      </c>
      <c r="I23" s="19">
        <f>SUM('R 2005'!I20+'TRT 2005'!I23)</f>
        <v>23800.86</v>
      </c>
      <c r="J23" s="19">
        <f>SUM('R 2005'!J20+'TRT 2005'!J23)</f>
        <v>6338.9400000000005</v>
      </c>
      <c r="K23" s="19">
        <f>SUM('R 2005'!K20+'TRT 2005'!K23)</f>
        <v>7112.5999999999995</v>
      </c>
      <c r="L23" s="19">
        <f>SUM('R 2005'!L20+'TRT 2005'!L23)</f>
        <v>24146.44</v>
      </c>
      <c r="M23" s="19">
        <f>SUM('R 2005'!M20+'TRT 2005'!M23)</f>
        <v>3244.8999999999996</v>
      </c>
      <c r="N23" s="81">
        <f t="shared" si="0"/>
        <v>122846.95000000001</v>
      </c>
      <c r="O23" s="19">
        <f>SUM('TOTAL 2004'!B23:M23)</f>
        <v>118962.72999999998</v>
      </c>
      <c r="P23" s="84">
        <f t="shared" si="1"/>
        <v>3.2650730190876054E-2</v>
      </c>
      <c r="Q23" s="22">
        <f t="shared" si="2"/>
        <v>2.086698345351511E-3</v>
      </c>
    </row>
    <row r="24" spans="1:17">
      <c r="A24" s="92" t="s">
        <v>33</v>
      </c>
      <c r="B24" s="19">
        <f>SUM('R 2005'!B21+'CR 2005'!C9+'TRT 2005'!B24)</f>
        <v>15299.130000000001</v>
      </c>
      <c r="C24" s="19">
        <f>SUM('R 2005'!C21+'CR 2005'!D9+'TRT 2005'!C24)</f>
        <v>43926.869999999995</v>
      </c>
      <c r="D24" s="19">
        <f>SUM('R 2005'!D21+'CR 2005'!E9+'TRT 2005'!D24)</f>
        <v>14227.12</v>
      </c>
      <c r="E24" s="19">
        <f>SUM('R 2005'!E21+'CR 2005'!F9+'TRT 2005'!E24)</f>
        <v>9804.59</v>
      </c>
      <c r="F24" s="19">
        <f>SUM('R 2005'!F21+'CR 2005'!G9+'TRT 2005'!F24)</f>
        <v>39134.18</v>
      </c>
      <c r="G24" s="19">
        <f>SUM('R 2005'!G21+'CR 2005'!H9+'TRT 2005'!G24)</f>
        <v>22306.89</v>
      </c>
      <c r="H24" s="19">
        <f>SUM('R 2005'!H21+'CR 2005'!I9+'TRT 2005'!H24)</f>
        <v>20110.239999999998</v>
      </c>
      <c r="I24" s="19">
        <f>SUM('R 2005'!I21+'CR 2005'!J9+'TRT 2005'!I24)</f>
        <v>58617.91</v>
      </c>
      <c r="J24" s="19">
        <f>SUM('R 2005'!J21+'CR 2005'!K9+'TRT 2005'!J24)</f>
        <v>34304.19</v>
      </c>
      <c r="K24" s="19">
        <f>SUM('R 2005'!K21+'CR 2005'!L9+'TRT 2005'!K24)</f>
        <v>25799.52</v>
      </c>
      <c r="L24" s="19">
        <f>SUM('R 2005'!L21+'CR 2005'!M9+'TRT 2005'!L24)</f>
        <v>81808.099999999991</v>
      </c>
      <c r="M24" s="19">
        <f>SUM('R 2005'!M21+'CR 2005'!N9+'TRT 2005'!M24)</f>
        <v>30211.64</v>
      </c>
      <c r="N24" s="81">
        <f t="shared" si="0"/>
        <v>395550.37999999995</v>
      </c>
      <c r="O24" s="19">
        <f>SUM('TOTAL 2004'!B24:M24)</f>
        <v>366502.77</v>
      </c>
      <c r="P24" s="84">
        <f t="shared" si="1"/>
        <v>7.9256181338001719E-2</v>
      </c>
      <c r="Q24" s="22">
        <f t="shared" si="2"/>
        <v>6.718883321475716E-3</v>
      </c>
    </row>
    <row r="25" spans="1:17">
      <c r="A25" s="92" t="s">
        <v>34</v>
      </c>
      <c r="B25" s="19">
        <f>SUM('R 2005'!B22+'TRT 2005'!B25)</f>
        <v>107945.65</v>
      </c>
      <c r="C25" s="19">
        <f>SUM('R 2005'!C22+'TRT 2005'!C25)</f>
        <v>726091.8600000001</v>
      </c>
      <c r="D25" s="19">
        <f>SUM('R 2005'!D22+'TRT 2005'!D25)</f>
        <v>666361.86</v>
      </c>
      <c r="E25" s="19">
        <f>SUM('R 2005'!E22+'TRT 2005'!E25)</f>
        <v>862915.07000000007</v>
      </c>
      <c r="F25" s="19">
        <f>SUM('R 2005'!F22+'TRT 2005'!F25)</f>
        <v>1412613.88</v>
      </c>
      <c r="G25" s="19">
        <f>SUM('R 2005'!G22+'TRT 2005'!G25)</f>
        <v>341596.63</v>
      </c>
      <c r="H25" s="19">
        <f>SUM('R 2005'!H22+'TRT 2005'!H25)</f>
        <v>101702.1</v>
      </c>
      <c r="I25" s="19">
        <f>SUM('R 2005'!I22+'TRT 2005'!I25)</f>
        <v>237244.25</v>
      </c>
      <c r="J25" s="19">
        <f>SUM('R 2005'!J22+'TRT 2005'!J25)</f>
        <v>246345.28999999998</v>
      </c>
      <c r="K25" s="19">
        <f>SUM('R 2005'!K22+'TRT 2005'!K25)</f>
        <v>244455.95</v>
      </c>
      <c r="L25" s="19">
        <f>SUM('R 2005'!L22+'TRT 2005'!L25)</f>
        <v>302877.64</v>
      </c>
      <c r="M25" s="19">
        <f>SUM('R 2005'!M22+'TRT 2005'!M25)</f>
        <v>140857.31</v>
      </c>
      <c r="N25" s="81">
        <f t="shared" si="0"/>
        <v>5391007.4899999993</v>
      </c>
      <c r="O25" s="19">
        <f>SUM('TOTAL 2004'!B25:M25)</f>
        <v>4442114.7100000009</v>
      </c>
      <c r="P25" s="84">
        <f t="shared" si="1"/>
        <v>0.21361284927286306</v>
      </c>
      <c r="Q25" s="22">
        <f t="shared" si="2"/>
        <v>9.1572533214382607E-2</v>
      </c>
    </row>
    <row r="26" spans="1:17">
      <c r="A26" s="92" t="s">
        <v>35</v>
      </c>
      <c r="B26" s="19">
        <f>SUM('R 2005'!B23+'TRT 2005'!B26)</f>
        <v>36298.590000000004</v>
      </c>
      <c r="C26" s="19">
        <f>SUM('R 2005'!C23+'TRT 2005'!C26)</f>
        <v>39862.25</v>
      </c>
      <c r="D26" s="19">
        <f>SUM('R 2005'!D23+'TRT 2005'!D26)</f>
        <v>27687.18</v>
      </c>
      <c r="E26" s="19">
        <f>SUM('R 2005'!E23+'TRT 2005'!E26)</f>
        <v>37145.380000000005</v>
      </c>
      <c r="F26" s="19">
        <f>SUM('R 2005'!F23+'TRT 2005'!F26)</f>
        <v>55235.46</v>
      </c>
      <c r="G26" s="19">
        <f>SUM('R 2005'!G23+'TRT 2005'!G26)</f>
        <v>18378.920000000002</v>
      </c>
      <c r="H26" s="19">
        <f>SUM('R 2005'!H23+'TRT 2005'!H26)</f>
        <v>32397.32</v>
      </c>
      <c r="I26" s="19">
        <f>SUM('R 2005'!I23+'TRT 2005'!I26)</f>
        <v>57788.990000000005</v>
      </c>
      <c r="J26" s="19">
        <f>SUM('R 2005'!J23+'TRT 2005'!J26)</f>
        <v>37519.279999999999</v>
      </c>
      <c r="K26" s="19">
        <f>SUM('R 2005'!K23+'TRT 2005'!K26)</f>
        <v>31789.67</v>
      </c>
      <c r="L26" s="19">
        <f>SUM('R 2005'!L23+'TRT 2005'!L26)</f>
        <v>51566.840000000004</v>
      </c>
      <c r="M26" s="19">
        <f>SUM('R 2005'!M23+'TRT 2005'!M26)</f>
        <v>33258.75</v>
      </c>
      <c r="N26" s="81">
        <f t="shared" si="0"/>
        <v>458928.63</v>
      </c>
      <c r="O26" s="19">
        <f>SUM('TOTAL 2004'!B26:M26)</f>
        <v>380661.93999999994</v>
      </c>
      <c r="P26" s="84">
        <f t="shared" si="1"/>
        <v>0.20560681742965969</v>
      </c>
      <c r="Q26" s="22">
        <f t="shared" si="2"/>
        <v>7.7954366213848665E-3</v>
      </c>
    </row>
    <row r="27" spans="1:17">
      <c r="A27" s="92" t="s">
        <v>36</v>
      </c>
      <c r="B27" s="19">
        <f>SUM('R 2005'!B24+'CR 2005'!C10+'TRT 2005'!B27)</f>
        <v>21004.15</v>
      </c>
      <c r="C27" s="19">
        <f>SUM('R 2005'!C24+'CR 2005'!D10+'TRT 2005'!C27)</f>
        <v>44082.76</v>
      </c>
      <c r="D27" s="19">
        <f>SUM('R 2005'!D24+'CR 2005'!E10+'TRT 2005'!D27)</f>
        <v>30485.48</v>
      </c>
      <c r="E27" s="19">
        <f>SUM('R 2005'!E24+'CR 2005'!F10+'TRT 2005'!E27)</f>
        <v>13975.619999999999</v>
      </c>
      <c r="F27" s="19">
        <f>SUM('R 2005'!F24+'CR 2005'!G10+'TRT 2005'!F27)</f>
        <v>53374.009999999995</v>
      </c>
      <c r="G27" s="19">
        <f>SUM('R 2005'!G24+'CR 2005'!H10+'TRT 2005'!G27)</f>
        <v>28544.9</v>
      </c>
      <c r="H27" s="19">
        <f>SUM('R 2005'!H24+'CR 2005'!I10+'TRT 2005'!H27)</f>
        <v>18387.379999999997</v>
      </c>
      <c r="I27" s="19">
        <f>SUM('R 2005'!I24+'CR 2005'!J10+'TRT 2005'!I27)</f>
        <v>69717.320000000007</v>
      </c>
      <c r="J27" s="19">
        <f>SUM('R 2005'!J24+'CR 2005'!K10+'TRT 2005'!J27)</f>
        <v>52027.83</v>
      </c>
      <c r="K27" s="19">
        <f>SUM('R 2005'!K24+'CR 2005'!L10+'TRT 2005'!K27)</f>
        <v>39525.759999999995</v>
      </c>
      <c r="L27" s="19">
        <f>SUM('R 2005'!L24+'CR 2005'!M10+'TRT 2005'!L27)</f>
        <v>65215.96</v>
      </c>
      <c r="M27" s="19">
        <f>SUM('R 2005'!M24+'CR 2005'!N10+'TRT 2005'!M27)</f>
        <v>45104.179999999993</v>
      </c>
      <c r="N27" s="81">
        <f t="shared" si="0"/>
        <v>481445.35000000003</v>
      </c>
      <c r="O27" s="19">
        <f>SUM('TOTAL 2004'!B27:M27)</f>
        <v>398645.66</v>
      </c>
      <c r="P27" s="84">
        <f t="shared" si="1"/>
        <v>0.20770247442302536</v>
      </c>
      <c r="Q27" s="22">
        <f t="shared" si="2"/>
        <v>8.1779093027720996E-3</v>
      </c>
    </row>
    <row r="28" spans="1:17">
      <c r="A28" s="92" t="s">
        <v>37</v>
      </c>
      <c r="B28" s="19">
        <f>SUM('R 2005'!B25+'TRT 2005'!B28+'CR 2005'!C11)</f>
        <v>327592.13999999996</v>
      </c>
      <c r="C28" s="19">
        <f>SUM('R 2005'!C25+'TRT 2005'!C28+'CR 2005'!D11)</f>
        <v>409973.69</v>
      </c>
      <c r="D28" s="19">
        <f>SUM('R 2005'!D25+'TRT 2005'!D28+'CR 2005'!E11)</f>
        <v>349035.08</v>
      </c>
      <c r="E28" s="19">
        <f>SUM('R 2005'!E25+'TRT 2005'!E28+'CR 2005'!F11)</f>
        <v>462071.03</v>
      </c>
      <c r="F28" s="19">
        <f>SUM('R 2005'!F25+'TRT 2005'!F28+'CR 2005'!G11)</f>
        <v>392308.99</v>
      </c>
      <c r="G28" s="19">
        <f>SUM('R 2005'!G25+'TRT 2005'!G28+'CR 2005'!H11)</f>
        <v>380791.02</v>
      </c>
      <c r="H28" s="19">
        <f>SUM('R 2005'!H25+'TRT 2005'!H28+'CR 2005'!I11)</f>
        <v>372831.43</v>
      </c>
      <c r="I28" s="19">
        <f>SUM('R 2005'!I25+'TRT 2005'!I28+'CR 2005'!J11)</f>
        <v>496147.56</v>
      </c>
      <c r="J28" s="19">
        <f>SUM('R 2005'!J25+'TRT 2005'!J28+'CR 2005'!K11)</f>
        <v>403751.56</v>
      </c>
      <c r="K28" s="19">
        <f>SUM('R 2005'!K25+'TRT 2005'!K28+'CR 2005'!L11)</f>
        <v>397141.97</v>
      </c>
      <c r="L28" s="19">
        <f>SUM('R 2005'!L25+'TRT 2005'!L28+'CR 2005'!M11)</f>
        <v>486730.47</v>
      </c>
      <c r="M28" s="19">
        <f>SUM('R 2005'!M25+'TRT 2005'!M28+'CR 2005'!N11)</f>
        <v>346771.10000000003</v>
      </c>
      <c r="N28" s="81">
        <f t="shared" si="0"/>
        <v>4825146.04</v>
      </c>
      <c r="O28" s="19">
        <f>SUM('TOTAL 2004'!B28:M28)</f>
        <v>4377732.6400000006</v>
      </c>
      <c r="P28" s="84">
        <f t="shared" si="1"/>
        <v>0.10220208422778398</v>
      </c>
      <c r="Q28" s="22">
        <f t="shared" si="2"/>
        <v>8.1960718257534232E-2</v>
      </c>
    </row>
    <row r="29" spans="1:17">
      <c r="A29" s="92" t="s">
        <v>38</v>
      </c>
      <c r="B29" s="19">
        <f>SUM('R 2005'!B26+'TRT 2005'!B29)</f>
        <v>17579.310000000001</v>
      </c>
      <c r="C29" s="19">
        <f>SUM('R 2005'!C26+'TRT 2005'!C29)</f>
        <v>38359.85</v>
      </c>
      <c r="D29" s="19">
        <f>SUM('R 2005'!D26+'TRT 2005'!D29)</f>
        <v>41001.519999999997</v>
      </c>
      <c r="E29" s="19">
        <f>SUM('R 2005'!E26+'TRT 2005'!E29)</f>
        <v>26661.879999999997</v>
      </c>
      <c r="F29" s="19">
        <f>SUM('R 2005'!F26+'TRT 2005'!F29)</f>
        <v>43138.41</v>
      </c>
      <c r="G29" s="19">
        <f>SUM('R 2005'!G26+'TRT 2005'!G29)</f>
        <v>28821.95</v>
      </c>
      <c r="H29" s="19">
        <f>SUM('R 2005'!H26+'TRT 2005'!H29)</f>
        <v>23691.41</v>
      </c>
      <c r="I29" s="19">
        <f>SUM('R 2005'!I26+'TRT 2005'!I29)</f>
        <v>59493.32</v>
      </c>
      <c r="J29" s="19">
        <f>SUM('R 2005'!J26+'TRT 2005'!J29)</f>
        <v>45856.73</v>
      </c>
      <c r="K29" s="19">
        <f>SUM('R 2005'!K26+'TRT 2005'!K29)</f>
        <v>42931.79</v>
      </c>
      <c r="L29" s="19">
        <f>SUM('R 2005'!L26+'TRT 2005'!L29)</f>
        <v>45458.25</v>
      </c>
      <c r="M29" s="19">
        <f>SUM('R 2005'!M26+'TRT 2005'!M29)</f>
        <v>46410.759999999995</v>
      </c>
      <c r="N29" s="81">
        <f t="shared" si="0"/>
        <v>459405.18</v>
      </c>
      <c r="O29" s="19">
        <f>SUM('TOTAL 2004'!B29:M29)</f>
        <v>412037.54000000004</v>
      </c>
      <c r="P29" s="84">
        <f t="shared" si="1"/>
        <v>0.11495952528985565</v>
      </c>
      <c r="Q29" s="22">
        <f t="shared" si="2"/>
        <v>7.8035313774734568E-3</v>
      </c>
    </row>
    <row r="30" spans="1:17">
      <c r="A30" s="92" t="s">
        <v>39</v>
      </c>
      <c r="B30" s="19">
        <f>SUM('R 2005'!B27+'CR 2005'!C12+'TRT 2005'!B30)</f>
        <v>176604.91</v>
      </c>
      <c r="C30" s="19">
        <f>SUM('R 2005'!C27+'CR 2005'!D12+'TRT 2005'!C30)</f>
        <v>260985.56</v>
      </c>
      <c r="D30" s="19">
        <f>SUM('R 2005'!D27+'CR 2005'!E12+'TRT 2005'!D30)</f>
        <v>174067.53</v>
      </c>
      <c r="E30" s="19">
        <f>SUM('R 2005'!E27+'CR 2005'!F12+'TRT 2005'!E30)</f>
        <v>195610.48</v>
      </c>
      <c r="F30" s="19">
        <f>SUM('R 2005'!F27+'CR 2005'!G12+'TRT 2005'!F30)</f>
        <v>326177.42</v>
      </c>
      <c r="G30" s="19">
        <f>SUM('R 2005'!G27+'CR 2005'!H12+'TRT 2005'!G30)</f>
        <v>261256.51</v>
      </c>
      <c r="H30" s="19">
        <f>SUM('R 2005'!H27+'CR 2005'!I12+'TRT 2005'!H30)</f>
        <v>286443.12</v>
      </c>
      <c r="I30" s="19">
        <f>SUM('R 2005'!I27+'CR 2005'!J12+'TRT 2005'!I30)</f>
        <v>396363.88</v>
      </c>
      <c r="J30" s="19">
        <f>SUM('R 2005'!J27+'CR 2005'!K12+'TRT 2005'!J30)</f>
        <v>318119.41000000003</v>
      </c>
      <c r="K30" s="19">
        <f>SUM('R 2005'!K27+'CR 2005'!L12+'TRT 2005'!K30)</f>
        <v>268081.36</v>
      </c>
      <c r="L30" s="19">
        <f>SUM('R 2005'!L27+'CR 2005'!M12+'TRT 2005'!L30)</f>
        <v>399238.14</v>
      </c>
      <c r="M30" s="19">
        <f>SUM('R 2005'!M27+'CR 2005'!N12+'TRT 2005'!M30)</f>
        <v>346374.04000000004</v>
      </c>
      <c r="N30" s="81">
        <f t="shared" si="0"/>
        <v>3409322.36</v>
      </c>
      <c r="O30" s="19">
        <f>SUM('TOTAL 2004'!B30:M30)</f>
        <v>2988931.58</v>
      </c>
      <c r="P30" s="84">
        <f t="shared" si="1"/>
        <v>0.14064918140414573</v>
      </c>
      <c r="Q30" s="22">
        <f t="shared" si="2"/>
        <v>5.7911306120191887E-2</v>
      </c>
    </row>
    <row r="31" spans="1:17">
      <c r="A31" s="92" t="s">
        <v>40</v>
      </c>
      <c r="B31" s="19">
        <f>SUM('R 2005'!B28+'TRT 2005'!B31)</f>
        <v>3708.12</v>
      </c>
      <c r="C31" s="19">
        <f>SUM('R 2005'!C28+'TRT 2005'!C31)</f>
        <v>13336.970000000001</v>
      </c>
      <c r="D31" s="19">
        <f>SUM('R 2005'!D28+'TRT 2005'!D31)</f>
        <v>1828.46</v>
      </c>
      <c r="E31" s="19">
        <f>SUM('R 2005'!E28+'TRT 2005'!E31)</f>
        <v>1511.48</v>
      </c>
      <c r="F31" s="19">
        <f>SUM('R 2005'!F28+'TRT 2005'!F31)</f>
        <v>5913.2699999999995</v>
      </c>
      <c r="G31" s="19">
        <f>SUM('R 2005'!G28+'TRT 2005'!G31)</f>
        <v>4720.45</v>
      </c>
      <c r="H31" s="19">
        <f>SUM('R 2005'!H28+'TRT 2005'!H31)</f>
        <v>7049.3099999999995</v>
      </c>
      <c r="I31" s="19">
        <f>SUM('R 2005'!I28+'TRT 2005'!I31)</f>
        <v>34835.879999999997</v>
      </c>
      <c r="J31" s="19">
        <f>SUM('R 2005'!J28+'TRT 2005'!J31)</f>
        <v>7212.2000000000007</v>
      </c>
      <c r="K31" s="19">
        <f>SUM('R 2005'!K28+'TRT 2005'!K31)</f>
        <v>10456.66</v>
      </c>
      <c r="L31" s="19">
        <f>SUM('R 2005'!L28+'TRT 2005'!L31)</f>
        <v>35262.86</v>
      </c>
      <c r="M31" s="19">
        <f>SUM('R 2005'!M28+'TRT 2005'!M31)</f>
        <v>7178.32</v>
      </c>
      <c r="N31" s="81">
        <f t="shared" si="0"/>
        <v>133013.98000000001</v>
      </c>
      <c r="O31" s="19">
        <f>SUM('TOTAL 2004'!B31:M31)</f>
        <v>107468.81000000003</v>
      </c>
      <c r="P31" s="84">
        <f t="shared" si="1"/>
        <v>0.23769845409100543</v>
      </c>
      <c r="Q31" s="22">
        <f t="shared" si="2"/>
        <v>2.2593971765242763E-3</v>
      </c>
    </row>
    <row r="32" spans="1:17" ht="13" thickBot="1">
      <c r="A32" s="93" t="s">
        <v>41</v>
      </c>
      <c r="B32" s="20">
        <f>SUM('R 2005'!B29+'CR 2005'!C13+'TRT 2005'!B32)</f>
        <v>157160.51999999999</v>
      </c>
      <c r="C32" s="20">
        <f>SUM('R 2005'!C29+'CR 2005'!D13+'TRT 2005'!C32)</f>
        <v>266409.21999999997</v>
      </c>
      <c r="D32" s="20">
        <f>SUM('R 2005'!D29+'CR 2005'!E13+'TRT 2005'!D32)</f>
        <v>186266.33000000002</v>
      </c>
      <c r="E32" s="20">
        <f>SUM('R 2005'!E29+'CR 2005'!F13+'TRT 2005'!E32)</f>
        <v>152501.47</v>
      </c>
      <c r="F32" s="20">
        <f>SUM('R 2005'!F29+'CR 2005'!G13+'TRT 2005'!F32)</f>
        <v>284164.88</v>
      </c>
      <c r="G32" s="20">
        <f>SUM('R 2005'!G29+'CR 2005'!H13+'TRT 2005'!G32)</f>
        <v>188954.36000000002</v>
      </c>
      <c r="H32" s="20">
        <f>SUM('R 2005'!H29+'CR 2005'!I13+'TRT 2005'!H32)</f>
        <v>204032.16999999998</v>
      </c>
      <c r="I32" s="20">
        <f>SUM('R 2005'!I29+'CR 2005'!J13+'TRT 2005'!I32)</f>
        <v>296103.07</v>
      </c>
      <c r="J32" s="20">
        <f>SUM('R 2005'!J29+'CR 2005'!K13+'TRT 2005'!J32)</f>
        <v>221154.18</v>
      </c>
      <c r="K32" s="20">
        <f>SUM('R 2005'!K29+'CR 2005'!L13+'TRT 2005'!K32)</f>
        <v>208660.05000000002</v>
      </c>
      <c r="L32" s="20">
        <f>SUM('R 2005'!L29+'CR 2005'!M13+'TRT 2005'!L32)</f>
        <v>283399.18</v>
      </c>
      <c r="M32" s="20">
        <f>SUM('R 2005'!M29+'CR 2005'!N13+'TRT 2005'!M32)</f>
        <v>201724.94</v>
      </c>
      <c r="N32" s="82">
        <f t="shared" si="0"/>
        <v>2650530.37</v>
      </c>
      <c r="O32" s="19">
        <f>SUM('TOTAL 2004'!B32:M32)</f>
        <v>2507111.6500000004</v>
      </c>
      <c r="P32" s="85">
        <f t="shared" si="1"/>
        <v>5.7204759907680813E-2</v>
      </c>
      <c r="Q32" s="21">
        <f t="shared" si="2"/>
        <v>4.5022341518311422E-2</v>
      </c>
    </row>
    <row r="33" spans="1:17" ht="14" thickTop="1" thickBot="1">
      <c r="A33" s="94" t="s">
        <v>54</v>
      </c>
      <c r="B33" s="80">
        <f>SUM(B4:B32)</f>
        <v>3003369.4099999997</v>
      </c>
      <c r="C33" s="71">
        <f t="shared" ref="C33:M33" si="3">SUM(C4:C32)</f>
        <v>5191729.96</v>
      </c>
      <c r="D33" s="58">
        <f t="shared" si="3"/>
        <v>4578653.01</v>
      </c>
      <c r="E33" s="58">
        <f t="shared" si="3"/>
        <v>5120926.370000001</v>
      </c>
      <c r="F33" s="58">
        <f t="shared" si="3"/>
        <v>6432582.1399999997</v>
      </c>
      <c r="G33" s="58">
        <f t="shared" si="3"/>
        <v>4509067.49</v>
      </c>
      <c r="H33" s="63">
        <f t="shared" si="3"/>
        <v>4173984.4500000007</v>
      </c>
      <c r="I33" s="58">
        <f t="shared" si="3"/>
        <v>5984956.4300000016</v>
      </c>
      <c r="J33" s="58">
        <f t="shared" si="3"/>
        <v>4998345.21</v>
      </c>
      <c r="K33" s="58">
        <f t="shared" si="3"/>
        <v>4853377.01</v>
      </c>
      <c r="L33" s="58">
        <f t="shared" si="3"/>
        <v>5730798.8799999999</v>
      </c>
      <c r="M33" s="59">
        <f t="shared" si="3"/>
        <v>4293656.1400000006</v>
      </c>
      <c r="N33" s="83">
        <f t="shared" si="0"/>
        <v>58871446.500000007</v>
      </c>
      <c r="O33" s="80">
        <f>SUM('TOTAL 2004'!B33:M33)</f>
        <v>53022319.340000004</v>
      </c>
      <c r="P33" s="86">
        <f t="shared" si="1"/>
        <v>0.11031443423840237</v>
      </c>
      <c r="Q33" s="64">
        <f t="shared" si="2"/>
        <v>1</v>
      </c>
    </row>
    <row r="34" spans="1:17">
      <c r="B34" s="28">
        <f>B33/'TOTAL 2003'!B33-1</f>
        <v>7.8223123613903933E-2</v>
      </c>
      <c r="C34" s="28">
        <f>C33/'TOTAL 2003'!C33-1</f>
        <v>8.0781835945321401E-2</v>
      </c>
      <c r="D34" s="28">
        <f>D33/'TOTAL 2003'!D33-1</f>
        <v>0.14003679507949607</v>
      </c>
      <c r="E34" s="28">
        <f>E33/'TOTAL 2003'!E33-1</f>
        <v>0.36592411561750193</v>
      </c>
      <c r="F34" s="28">
        <f>F33/'TOTAL 2003'!F33-1</f>
        <v>4.2243184986839655E-2</v>
      </c>
      <c r="G34" s="28">
        <f>G33/'TOTAL 2003'!G33-1</f>
        <v>0.40067575427481472</v>
      </c>
      <c r="H34" s="28">
        <f>H33/'TOTAL 2003'!H33-1</f>
        <v>0.31796414173119669</v>
      </c>
      <c r="I34" s="28">
        <f>I33/'TOTAL 2003'!I33-1</f>
        <v>0.18714431330447456</v>
      </c>
      <c r="J34" s="28">
        <f>J33/'TOTAL 2003'!J33-1</f>
        <v>0.34772157195088016</v>
      </c>
      <c r="K34" s="28">
        <f>K33/'TOTAL 2003'!K33-1</f>
        <v>0.18556813680376893</v>
      </c>
      <c r="L34" s="28">
        <f>L33/'TOTAL 2003'!L33-1</f>
        <v>0.10761573208617148</v>
      </c>
      <c r="M34" s="28">
        <f>M33/'TOTAL 2003'!M33-1</f>
        <v>0.11817245445988678</v>
      </c>
      <c r="N34" s="28">
        <f>N33/'TOTAL 2003'!N33-1</f>
        <v>0.18286247169200087</v>
      </c>
    </row>
    <row r="40" spans="1:17">
      <c r="G40" s="100"/>
    </row>
  </sheetData>
  <mergeCells count="1">
    <mergeCell ref="A1:Q1"/>
  </mergeCells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theme="1"/>
    <pageSetUpPr fitToPage="1"/>
  </sheetPr>
  <dimension ref="A1:Q34"/>
  <sheetViews>
    <sheetView workbookViewId="0">
      <selection activeCell="P43" sqref="P43"/>
    </sheetView>
  </sheetViews>
  <sheetFormatPr baseColWidth="10" defaultColWidth="8.83203125" defaultRowHeight="12" x14ac:dyDescent="0"/>
  <cols>
    <col min="14" max="15" width="9.5" bestFit="1" customWidth="1"/>
    <col min="16" max="16" width="10.1640625" bestFit="1" customWidth="1"/>
  </cols>
  <sheetData>
    <row r="1" spans="1:17" ht="21">
      <c r="A1" s="691" t="s">
        <v>67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</row>
    <row r="2" spans="1:17" ht="13" thickBot="1">
      <c r="A2" s="47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3" thickBot="1">
      <c r="A3" s="95" t="s">
        <v>42</v>
      </c>
      <c r="B3" s="6" t="s">
        <v>2</v>
      </c>
      <c r="C3" s="6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8" t="s">
        <v>13</v>
      </c>
      <c r="N3" s="97" t="s">
        <v>63</v>
      </c>
      <c r="O3" s="91" t="s">
        <v>47</v>
      </c>
      <c r="P3" s="98" t="s">
        <v>16</v>
      </c>
      <c r="Q3" s="18" t="s">
        <v>58</v>
      </c>
    </row>
    <row r="4" spans="1:17" ht="13" thickBot="1">
      <c r="A4" s="92" t="s">
        <v>17</v>
      </c>
      <c r="B4" s="36">
        <f>SUM('R 2004'!B4+'TRT 2004'!B4)</f>
        <v>3150.21</v>
      </c>
      <c r="C4" s="36">
        <f>SUM('R 2004'!C4+'TRT 2004'!C4)</f>
        <v>18740.88</v>
      </c>
      <c r="D4" s="36">
        <f>SUM('R 2004'!D4+'TRT 2004'!D4)</f>
        <v>6797.41</v>
      </c>
      <c r="E4" s="36">
        <f>SUM('R 2004'!E4+'TRT 2004'!E4)</f>
        <v>2922.31</v>
      </c>
      <c r="F4" s="36">
        <f>SUM('R 2004'!F4+'TRT 2004'!F4)</f>
        <v>19570.55</v>
      </c>
      <c r="G4" s="36">
        <f>SUM('R 2004'!G4+'TRT 2004'!G4)</f>
        <v>5467.73</v>
      </c>
      <c r="H4" s="36">
        <f>SUM('R 2004'!H4+'TRT 2004'!H4)</f>
        <v>4253.46</v>
      </c>
      <c r="I4" s="36">
        <f>SUM('R 2004'!I4+'TRT 2004'!I4)</f>
        <v>28816.080000000002</v>
      </c>
      <c r="J4" s="36">
        <f>SUM('R 2004'!J4+'TRT 2004'!J4)</f>
        <v>8607.25</v>
      </c>
      <c r="K4" s="36">
        <f>SUM('R 2004'!K4+'TRT 2004'!K4)</f>
        <v>6160.28</v>
      </c>
      <c r="L4" s="36">
        <f>SUM('R 2004'!L4+'TRT 2004'!L4)</f>
        <v>26957.190000000002</v>
      </c>
      <c r="M4" s="36">
        <f>SUM('R 2004'!M4+'TRT 2004'!M4)</f>
        <v>16787.45</v>
      </c>
      <c r="N4" s="68">
        <f>SUM(B4:M4)</f>
        <v>148230.80000000002</v>
      </c>
      <c r="O4" s="19">
        <f>SUM('TOTAL 2003'!B4:M4)</f>
        <v>154277.01999999996</v>
      </c>
      <c r="P4" s="84">
        <f t="shared" ref="P4:P33" si="0">N4/O4-1</f>
        <v>-3.9190671429872981E-2</v>
      </c>
      <c r="Q4" s="22">
        <f>N4/$N$33</f>
        <v>2.7956302524128709E-3</v>
      </c>
    </row>
    <row r="5" spans="1:17" ht="13" thickBot="1">
      <c r="A5" s="92" t="s">
        <v>18</v>
      </c>
      <c r="B5" s="19">
        <f>'R 2004'!B5+'TRT 2004'!B5</f>
        <v>2470.83</v>
      </c>
      <c r="C5" s="19">
        <f>'R 2004'!C5+'TRT 2004'!C5</f>
        <v>38554.949999999997</v>
      </c>
      <c r="D5" s="19">
        <f>'R 2004'!D5+'TRT 2004'!D5</f>
        <v>39486.65</v>
      </c>
      <c r="E5" s="19">
        <f>'R 2004'!E5+'TRT 2004'!E5</f>
        <v>14763.09</v>
      </c>
      <c r="F5" s="19">
        <f>'R 2004'!F5+'TRT 2004'!F5</f>
        <v>45095.77</v>
      </c>
      <c r="G5" s="19">
        <f>'R 2004'!G5+'TRT 2004'!G5</f>
        <v>26999.62</v>
      </c>
      <c r="H5" s="19">
        <f>'R 2004'!H5+'TRT 2004'!H5</f>
        <v>20684.939999999999</v>
      </c>
      <c r="I5" s="19">
        <f>'R 2004'!I5+'TRT 2004'!I5</f>
        <v>47018.78</v>
      </c>
      <c r="J5" s="19">
        <f>'R 2004'!J5+'TRT 2004'!J5</f>
        <v>33975.65</v>
      </c>
      <c r="K5" s="19">
        <f>'R 2004'!K5+'TRT 2004'!K5</f>
        <v>32764.65</v>
      </c>
      <c r="L5" s="19">
        <f>'R 2004'!L5+'TRT 2004'!L5</f>
        <v>47429.58</v>
      </c>
      <c r="M5" s="19">
        <f>'R 2004'!M5+'TRT 2004'!M5</f>
        <v>29613.46</v>
      </c>
      <c r="N5" s="68">
        <f t="shared" ref="N5:N32" si="1">SUM(B5:M5)</f>
        <v>378857.97000000003</v>
      </c>
      <c r="O5" s="19">
        <f>SUM('TOTAL 2003'!B5:M5)</f>
        <v>373242.53</v>
      </c>
      <c r="P5" s="84">
        <f t="shared" si="0"/>
        <v>1.50450164401148E-2</v>
      </c>
      <c r="Q5" s="22">
        <f t="shared" ref="Q5:Q33" si="2">N5/$N$33</f>
        <v>7.1452545779940998E-3</v>
      </c>
    </row>
    <row r="6" spans="1:17" ht="13" thickBot="1">
      <c r="A6" s="92" t="s">
        <v>19</v>
      </c>
      <c r="B6" s="19">
        <f>SUM('R 2004'!B6+'TRT 2004'!B6)</f>
        <v>48641.34</v>
      </c>
      <c r="C6" s="19">
        <f>SUM('R 2004'!C6+'TRT 2004'!C6)</f>
        <v>96095.69</v>
      </c>
      <c r="D6" s="19">
        <f>SUM('R 2004'!D6+'TRT 2004'!D6)</f>
        <v>55368.95</v>
      </c>
      <c r="E6" s="19">
        <f>SUM('R 2004'!E6+'TRT 2004'!E6)</f>
        <v>64860.72</v>
      </c>
      <c r="F6" s="19">
        <f>SUM('R 2004'!F6+'TRT 2004'!F6)</f>
        <v>90663.799999999988</v>
      </c>
      <c r="G6" s="19">
        <f>SUM('R 2004'!G6+'TRT 2004'!G6)</f>
        <v>85475.39</v>
      </c>
      <c r="H6" s="19">
        <f>SUM('R 2004'!H6+'TRT 2004'!H6)</f>
        <v>86960.52</v>
      </c>
      <c r="I6" s="19">
        <f>SUM('R 2004'!I6+'TRT 2004'!I6)</f>
        <v>116907.48000000001</v>
      </c>
      <c r="J6" s="19">
        <f>SUM('R 2004'!J6+'TRT 2004'!J6)</f>
        <v>71185.929999999993</v>
      </c>
      <c r="K6" s="19">
        <f>SUM('R 2004'!K6+'TRT 2004'!K6)</f>
        <v>78216.13</v>
      </c>
      <c r="L6" s="19">
        <f>SUM('R 2004'!L6+'TRT 2004'!L6)</f>
        <v>120070.53</v>
      </c>
      <c r="M6" s="19">
        <f>SUM('R 2004'!M6+'TRT 2004'!M6)</f>
        <v>76978.98</v>
      </c>
      <c r="N6" s="68">
        <f t="shared" si="1"/>
        <v>991425.45999999985</v>
      </c>
      <c r="O6" s="19">
        <f>SUM('TOTAL 2003'!B6:M6)</f>
        <v>870105.18</v>
      </c>
      <c r="P6" s="84">
        <f t="shared" si="0"/>
        <v>0.13943174088447541</v>
      </c>
      <c r="Q6" s="22">
        <f t="shared" si="2"/>
        <v>1.8698266547764339E-2</v>
      </c>
    </row>
    <row r="7" spans="1:17" ht="13" thickBot="1">
      <c r="A7" s="92" t="s">
        <v>20</v>
      </c>
      <c r="B7" s="19">
        <f>SUM('R 2004'!B7+'TRT 2004'!B7)</f>
        <v>10495.09</v>
      </c>
      <c r="C7" s="19">
        <f>SUM('R 2004'!C7+'TRT 2004'!C7)</f>
        <v>27465.379999999997</v>
      </c>
      <c r="D7" s="19">
        <f>SUM('R 2004'!D7+'TRT 2004'!D7)</f>
        <v>15845.6</v>
      </c>
      <c r="E7" s="19">
        <f>SUM('R 2004'!E7+'TRT 2004'!E7)</f>
        <v>13641.82</v>
      </c>
      <c r="F7" s="19">
        <f>SUM('R 2004'!F7+'TRT 2004'!F7)</f>
        <v>31426.36</v>
      </c>
      <c r="G7" s="19">
        <f>SUM('R 2004'!G7+'TRT 2004'!G7)</f>
        <v>19150.849999999999</v>
      </c>
      <c r="H7" s="19">
        <f>SUM('R 2004'!H7+'TRT 2004'!H7)</f>
        <v>19942.73</v>
      </c>
      <c r="I7" s="19">
        <f>SUM('R 2004'!I7+'TRT 2004'!I7)</f>
        <v>43695.95</v>
      </c>
      <c r="J7" s="19">
        <f>SUM('R 2004'!J7+'TRT 2004'!J7)</f>
        <v>24519.53</v>
      </c>
      <c r="K7" s="19">
        <f>SUM('R 2004'!K7+'TRT 2004'!K7)</f>
        <v>27631.010000000002</v>
      </c>
      <c r="L7" s="19">
        <f>SUM('R 2004'!L7+'TRT 2004'!L7)</f>
        <v>42485.95</v>
      </c>
      <c r="M7" s="19">
        <f>SUM('R 2004'!M7+'TRT 2004'!M7)</f>
        <v>23842.559999999998</v>
      </c>
      <c r="N7" s="68">
        <f t="shared" si="1"/>
        <v>300142.83</v>
      </c>
      <c r="O7" s="19">
        <f>SUM('TOTAL 2003'!B7:M7)</f>
        <v>311610.74</v>
      </c>
      <c r="P7" s="84">
        <f t="shared" si="0"/>
        <v>-3.6802037054306846E-2</v>
      </c>
      <c r="Q7" s="22">
        <f t="shared" si="2"/>
        <v>5.6606884371723917E-3</v>
      </c>
    </row>
    <row r="8" spans="1:17" ht="13" thickBot="1">
      <c r="A8" s="92" t="s">
        <v>21</v>
      </c>
      <c r="B8" s="19">
        <f>SUM('R 2004'!B8+'TRT 2004'!B8)</f>
        <v>1200.82</v>
      </c>
      <c r="C8" s="19">
        <f>SUM('R 2004'!C8+'TRT 2004'!C8)</f>
        <v>3002.9700000000003</v>
      </c>
      <c r="D8" s="19">
        <f>SUM('R 2004'!D8+'TRT 2004'!D8)</f>
        <v>831.36</v>
      </c>
      <c r="E8" s="19">
        <f>SUM('R 2004'!E8+'TRT 2004'!E8)</f>
        <v>1433.31</v>
      </c>
      <c r="F8" s="19">
        <f>SUM('R 2004'!F8+'TRT 2004'!F8)</f>
        <v>7058.2</v>
      </c>
      <c r="G8" s="19">
        <f>SUM('R 2004'!G8+'TRT 2004'!G8)</f>
        <v>7798.95</v>
      </c>
      <c r="H8" s="19">
        <f>SUM('R 2004'!H8+'TRT 2004'!H8)</f>
        <v>6234.9599999999991</v>
      </c>
      <c r="I8" s="19">
        <f>SUM('R 2004'!I8+'TRT 2004'!I8)</f>
        <v>14420.169999999998</v>
      </c>
      <c r="J8" s="19">
        <f>SUM('R 2004'!J8+'TRT 2004'!J8)</f>
        <v>8936.99</v>
      </c>
      <c r="K8" s="19">
        <f>SUM('R 2004'!K8+'TRT 2004'!K8)</f>
        <v>7427.29</v>
      </c>
      <c r="L8" s="19">
        <f>SUM('R 2004'!L8+'TRT 2004'!L8)</f>
        <v>9626.09</v>
      </c>
      <c r="M8" s="19">
        <f>SUM('R 2004'!M8+'TRT 2004'!M8)</f>
        <v>1347.1699999999998</v>
      </c>
      <c r="N8" s="68">
        <f t="shared" si="1"/>
        <v>69318.28</v>
      </c>
      <c r="O8" s="19">
        <f>SUM('TOTAL 2003'!B8:M8)</f>
        <v>65534.83</v>
      </c>
      <c r="P8" s="84">
        <f t="shared" si="0"/>
        <v>5.7731896153541573E-2</v>
      </c>
      <c r="Q8" s="22">
        <f t="shared" si="2"/>
        <v>1.3073415283006368E-3</v>
      </c>
    </row>
    <row r="9" spans="1:17" ht="13" thickBot="1">
      <c r="A9" s="92" t="s">
        <v>22</v>
      </c>
      <c r="B9" s="19">
        <f>SUM('R 2004'!B9+'CR 2004'!C4+'TRT 2004'!B9)</f>
        <v>182186.85</v>
      </c>
      <c r="C9" s="19">
        <f>SUM('R 2004'!C9+'CR 2004'!D4+'TRT 2004'!C9)</f>
        <v>254907.94000000003</v>
      </c>
      <c r="D9" s="19">
        <f>SUM('R 2004'!D9+'CR 2004'!E4+'TRT 2004'!D9)</f>
        <v>171823.09000000003</v>
      </c>
      <c r="E9" s="19">
        <f>SUM('R 2004'!E9+'CR 2004'!F4+'TRT 2004'!E9)</f>
        <v>179239.59</v>
      </c>
      <c r="F9" s="19">
        <f>SUM('R 2004'!F9+'CR 2004'!G4+'TRT 2004'!F9)</f>
        <v>232231.9</v>
      </c>
      <c r="G9" s="19">
        <f>SUM('R 2004'!G9+'CR 2004'!H4+'TRT 2004'!G9)</f>
        <v>260769.53</v>
      </c>
      <c r="H9" s="19">
        <f>SUM('R 2004'!H9+'CR 2004'!I4+'TRT 2004'!H9)</f>
        <v>225627.36</v>
      </c>
      <c r="I9" s="19">
        <f>SUM('R 2004'!I9+'CR 2004'!J4+'TRT 2004'!I9)</f>
        <v>290357.21000000002</v>
      </c>
      <c r="J9" s="19">
        <f>SUM('R 2004'!J9+'CR 2004'!K4+'TRT 2004'!J9)</f>
        <v>252362.4</v>
      </c>
      <c r="K9" s="19">
        <f>SUM('R 2004'!K9+'CR 2004'!L4+'TRT 2004'!K9)</f>
        <v>223124.62000000002</v>
      </c>
      <c r="L9" s="19">
        <f>SUM('R 2004'!L9+'CR 2004'!M4+'TRT 2004'!L9)</f>
        <v>302172.79999999999</v>
      </c>
      <c r="M9" s="19">
        <f>SUM('R 2004'!M9+'CR 2004'!N4+'TRT 2004'!M9)</f>
        <v>194807.23</v>
      </c>
      <c r="N9" s="68">
        <f t="shared" si="1"/>
        <v>2769610.52</v>
      </c>
      <c r="O9" s="19">
        <f>SUM('TOTAL 2003'!B9:M9)</f>
        <v>2695634.87</v>
      </c>
      <c r="P9" s="84">
        <f t="shared" si="0"/>
        <v>2.7442755999071977E-2</v>
      </c>
      <c r="Q9" s="22">
        <f t="shared" si="2"/>
        <v>5.2234805162712082E-2</v>
      </c>
    </row>
    <row r="10" spans="1:17" ht="13" thickBot="1">
      <c r="A10" s="92" t="s">
        <v>23</v>
      </c>
      <c r="B10" s="19">
        <f>SUM('R 2004'!B10+'TRT 2004'!B10+'CR 2004'!C5)</f>
        <v>5167.58</v>
      </c>
      <c r="C10" s="19">
        <f>SUM('R 2004'!C10+'TRT 2004'!C10+'CR 2004'!D5)</f>
        <v>13487.419999999998</v>
      </c>
      <c r="D10" s="19">
        <f>SUM('R 2004'!D10+'TRT 2004'!D10+'CR 2004'!E5)</f>
        <v>3742.6400000000003</v>
      </c>
      <c r="E10" s="19">
        <f>SUM('R 2004'!E10+'TRT 2004'!E10+'CR 2004'!F5)</f>
        <v>4060.55</v>
      </c>
      <c r="F10" s="19">
        <f>SUM('R 2004'!F10+'TRT 2004'!F10+'CR 2004'!G5)</f>
        <v>13839.66</v>
      </c>
      <c r="G10" s="19">
        <f>SUM('R 2004'!G10+'TRT 2004'!G10+'CR 2004'!H5)</f>
        <v>4918.7700000000004</v>
      </c>
      <c r="H10" s="19">
        <f>SUM('R 2004'!H10+'TRT 2004'!H10+'CR 2004'!I5)</f>
        <v>5342.66</v>
      </c>
      <c r="I10" s="19">
        <f>SUM('R 2004'!I10+'TRT 2004'!I10+'CR 2004'!J5)</f>
        <v>18111.440000000002</v>
      </c>
      <c r="J10" s="19">
        <f>SUM('R 2004'!J10+'TRT 2004'!J10+'CR 2004'!K5)</f>
        <v>7578.9</v>
      </c>
      <c r="K10" s="19">
        <f>SUM('R 2004'!K10+'TRT 2004'!K10+'CR 2004'!L5)</f>
        <v>5315.73</v>
      </c>
      <c r="L10" s="19">
        <f>SUM('R 2004'!L10+'TRT 2004'!L10+'CR 2004'!M5)</f>
        <v>21276.400000000001</v>
      </c>
      <c r="M10" s="19">
        <f>SUM('R 2004'!M10+'TRT 2004'!M10+'CR 2004'!N5)</f>
        <v>4900.3899999999994</v>
      </c>
      <c r="N10" s="68">
        <f t="shared" si="1"/>
        <v>107742.14</v>
      </c>
      <c r="O10" s="19">
        <f>SUM('TOTAL 2003'!B10:M10)</f>
        <v>99499.73</v>
      </c>
      <c r="P10" s="84">
        <f t="shared" si="0"/>
        <v>8.2838516245220095E-2</v>
      </c>
      <c r="Q10" s="22">
        <f t="shared" si="2"/>
        <v>2.0320148447131288E-3</v>
      </c>
    </row>
    <row r="11" spans="1:17" ht="13" thickBot="1">
      <c r="A11" s="92" t="s">
        <v>51</v>
      </c>
      <c r="B11" s="19">
        <f>'TRT 2004'!B11</f>
        <v>4840.25</v>
      </c>
      <c r="C11" s="19">
        <f>'TRT 2004'!C11</f>
        <v>7922.66</v>
      </c>
      <c r="D11" s="19">
        <f>'TRT 2004'!D11</f>
        <v>3942.39</v>
      </c>
      <c r="E11" s="19">
        <f>'TRT 2004'!E11</f>
        <v>2603.8000000000002</v>
      </c>
      <c r="F11" s="19">
        <f>'TRT 2004'!F11</f>
        <v>9535.99</v>
      </c>
      <c r="G11" s="19">
        <f>'TRT 2004'!G11</f>
        <v>11235.37</v>
      </c>
      <c r="H11" s="19">
        <f>'TRT 2004'!H11</f>
        <v>12751.23</v>
      </c>
      <c r="I11" s="19">
        <f>'TRT 2004'!I11</f>
        <v>26386.44</v>
      </c>
      <c r="J11" s="19">
        <f>'TRT 2004'!J11</f>
        <v>15489.96</v>
      </c>
      <c r="K11" s="19">
        <f>'TRT 2004'!K11</f>
        <v>14434.65</v>
      </c>
      <c r="L11" s="19">
        <f>'TRT 2004'!L11</f>
        <v>20737.439999999999</v>
      </c>
      <c r="M11" s="19">
        <f>'TRT 2004'!M11</f>
        <v>7457.85</v>
      </c>
      <c r="N11" s="68">
        <f t="shared" si="1"/>
        <v>137338.03</v>
      </c>
      <c r="O11" s="19">
        <f>SUM('TOTAL 2003'!B11:M11)</f>
        <v>118865.67</v>
      </c>
      <c r="P11" s="84">
        <f t="shared" si="0"/>
        <v>0.15540534117209792</v>
      </c>
      <c r="Q11" s="22">
        <f t="shared" si="2"/>
        <v>2.5901928038895182E-3</v>
      </c>
    </row>
    <row r="12" spans="1:17" ht="13" thickBot="1">
      <c r="A12" s="92" t="s">
        <v>24</v>
      </c>
      <c r="B12" s="19">
        <f>SUM('R 2004'!B11+'TRT 2004'!B12)</f>
        <v>12430.17</v>
      </c>
      <c r="C12" s="19">
        <f>SUM('R 2004'!C11+'TRT 2004'!C12)</f>
        <v>26664.81</v>
      </c>
      <c r="D12" s="19">
        <f>SUM('R 2004'!D11+'TRT 2004'!D12)</f>
        <v>4261.72</v>
      </c>
      <c r="E12" s="19">
        <f>SUM('R 2004'!E11+'TRT 2004'!E12)</f>
        <v>5500.28</v>
      </c>
      <c r="F12" s="19">
        <f>SUM('R 2004'!F11+'TRT 2004'!F12)</f>
        <v>19967.04</v>
      </c>
      <c r="G12" s="19">
        <f>SUM('R 2004'!G11+'TRT 2004'!G12)</f>
        <v>40790.68</v>
      </c>
      <c r="H12" s="19">
        <f>SUM('R 2004'!H11+'TRT 2004'!H12)</f>
        <v>66069.739999999991</v>
      </c>
      <c r="I12" s="19">
        <f>SUM('R 2004'!I11+'TRT 2004'!I12)</f>
        <v>124314.91</v>
      </c>
      <c r="J12" s="19">
        <f>SUM('R 2004'!J11+'TRT 2004'!J12)</f>
        <v>69805.95</v>
      </c>
      <c r="K12" s="19">
        <f>SUM('R 2004'!K11+'TRT 2004'!K12)</f>
        <v>79874.819999999992</v>
      </c>
      <c r="L12" s="19">
        <f>SUM('R 2004'!L11+'TRT 2004'!L12)</f>
        <v>133421.49</v>
      </c>
      <c r="M12" s="19">
        <f>SUM('R 2004'!M11+'TRT 2004'!M12)</f>
        <v>45596.959999999999</v>
      </c>
      <c r="N12" s="68">
        <f t="shared" si="1"/>
        <v>628698.56999999995</v>
      </c>
      <c r="O12" s="19">
        <f>SUM('TOTAL 2003'!B12:M12)</f>
        <v>566898.01</v>
      </c>
      <c r="P12" s="84">
        <f t="shared" si="0"/>
        <v>0.10901530594542019</v>
      </c>
      <c r="Q12" s="22">
        <f t="shared" si="2"/>
        <v>1.1857243851754903E-2</v>
      </c>
    </row>
    <row r="13" spans="1:17" ht="13" thickBot="1">
      <c r="A13" s="92" t="s">
        <v>59</v>
      </c>
      <c r="B13" s="19">
        <f>SUM('R 2004'!B12+'CR 2004'!C6+'TRT 2004'!B13)</f>
        <v>40162.629999999997</v>
      </c>
      <c r="C13" s="19">
        <f>SUM('R 2004'!C12+'CR 2004'!D6+'TRT 2004'!C13)</f>
        <v>52416.09</v>
      </c>
      <c r="D13" s="19">
        <f>SUM('R 2004'!D12+'CR 2004'!E6+'TRT 2004'!D13)</f>
        <v>37701.49</v>
      </c>
      <c r="E13" s="19">
        <f>SUM('R 2004'!E12+'CR 2004'!F6+'TRT 2004'!E13)</f>
        <v>126459.41</v>
      </c>
      <c r="F13" s="19">
        <f>SUM('R 2004'!F12+'CR 2004'!G6+'TRT 2004'!F13)</f>
        <v>138713.39000000001</v>
      </c>
      <c r="G13" s="19">
        <f>SUM('R 2004'!G12+'CR 2004'!H6+'TRT 2004'!G13)</f>
        <v>146327.53</v>
      </c>
      <c r="H13" s="19">
        <f>SUM('R 2004'!H12+'CR 2004'!I6+'TRT 2004'!H13)</f>
        <v>114469.86</v>
      </c>
      <c r="I13" s="19">
        <f>SUM('R 2004'!I12+'CR 2004'!J6+'TRT 2004'!I13)</f>
        <v>146266.01999999999</v>
      </c>
      <c r="J13" s="19">
        <f>SUM('R 2004'!J12+'CR 2004'!K6+'TRT 2004'!J13)</f>
        <v>115813.70999999999</v>
      </c>
      <c r="K13" s="19">
        <f>SUM('R 2004'!K12+'CR 2004'!L6+'TRT 2004'!K13)</f>
        <v>68307.28</v>
      </c>
      <c r="L13" s="19">
        <f>SUM('R 2004'!L12+'CR 2004'!M6+'TRT 2004'!L13)</f>
        <v>73993.5</v>
      </c>
      <c r="M13" s="19">
        <f>SUM('R 2004'!M12+'CR 2004'!N6+'TRT 2004'!M13)</f>
        <v>70633.84</v>
      </c>
      <c r="N13" s="68">
        <f t="shared" si="1"/>
        <v>1131264.7500000002</v>
      </c>
      <c r="O13" s="19">
        <f>SUM('TOTAL 2003'!B13:M13)</f>
        <v>234715.65999999997</v>
      </c>
      <c r="P13" s="84">
        <f t="shared" si="0"/>
        <v>3.8197242143962633</v>
      </c>
      <c r="Q13" s="22">
        <f t="shared" si="2"/>
        <v>2.1335633070780725E-2</v>
      </c>
    </row>
    <row r="14" spans="1:17" ht="13" thickBot="1">
      <c r="A14" s="92" t="s">
        <v>26</v>
      </c>
      <c r="B14" s="19">
        <f>SUM('R 2004'!B13+'TRT 2004'!B14)</f>
        <v>26417.29</v>
      </c>
      <c r="C14" s="19">
        <f>SUM('R 2004'!C13+'TRT 2004'!C14)</f>
        <v>95488.78</v>
      </c>
      <c r="D14" s="19">
        <f>SUM('R 2004'!D13+'TRT 2004'!D14)</f>
        <v>28035.96</v>
      </c>
      <c r="E14" s="19">
        <f>SUM('R 2004'!E13+'TRT 2004'!E14)</f>
        <v>31770.68</v>
      </c>
      <c r="F14" s="19">
        <f>SUM('R 2004'!F13+'TRT 2004'!F14)</f>
        <v>123688.63</v>
      </c>
      <c r="G14" s="19">
        <f>SUM('R 2004'!G13+'TRT 2004'!G14)</f>
        <v>46540.56</v>
      </c>
      <c r="H14" s="19">
        <f>SUM('R 2004'!H13+'TRT 2004'!H14)</f>
        <v>39874.410000000003</v>
      </c>
      <c r="I14" s="19">
        <f>SUM('R 2004'!I13+'TRT 2004'!I14)</f>
        <v>120803.69</v>
      </c>
      <c r="J14" s="19">
        <f>SUM('R 2004'!J13+'TRT 2004'!J14)</f>
        <v>86378.65</v>
      </c>
      <c r="K14" s="19">
        <f>SUM('R 2004'!K13+'TRT 2004'!K14)</f>
        <v>67661.919999999998</v>
      </c>
      <c r="L14" s="19">
        <f>SUM('R 2004'!L13+'TRT 2004'!L14)</f>
        <v>108352.72</v>
      </c>
      <c r="M14" s="19">
        <f>SUM('R 2004'!M13+'TRT 2004'!M14)</f>
        <v>57805.83</v>
      </c>
      <c r="N14" s="68">
        <f t="shared" si="1"/>
        <v>832819.11999999988</v>
      </c>
      <c r="O14" s="19">
        <f>SUM('TOTAL 2003'!B14:M14)</f>
        <v>773767.42999999993</v>
      </c>
      <c r="P14" s="84">
        <f t="shared" si="0"/>
        <v>7.6317104740373898E-2</v>
      </c>
      <c r="Q14" s="22">
        <f t="shared" si="2"/>
        <v>1.5706953795431612E-2</v>
      </c>
    </row>
    <row r="15" spans="1:17" ht="13" thickBot="1">
      <c r="A15" s="92" t="s">
        <v>27</v>
      </c>
      <c r="B15" s="19">
        <f>SUM('R 2004'!B14+'TRT 2004'!B15)</f>
        <v>4385.1000000000004</v>
      </c>
      <c r="C15" s="19">
        <f>SUM('R 2004'!C14+'TRT 2004'!C15)</f>
        <v>17789.449999999997</v>
      </c>
      <c r="D15" s="19">
        <f>SUM('R 2004'!D14+'TRT 2004'!D15)</f>
        <v>4285.32</v>
      </c>
      <c r="E15" s="19">
        <f>SUM('R 2004'!E14+'TRT 2004'!E15)</f>
        <v>3724.65</v>
      </c>
      <c r="F15" s="19">
        <f>SUM('R 2004'!F14+'TRT 2004'!F15)</f>
        <v>19298.43</v>
      </c>
      <c r="G15" s="19">
        <f>SUM('R 2004'!G14+'TRT 2004'!G15)</f>
        <v>7519.4600000000009</v>
      </c>
      <c r="H15" s="19">
        <f>SUM('R 2004'!H14+'TRT 2004'!H15)</f>
        <v>5340.81</v>
      </c>
      <c r="I15" s="19">
        <f>SUM('R 2004'!I14+'TRT 2004'!I15)</f>
        <v>28990.68</v>
      </c>
      <c r="J15" s="19">
        <f>SUM('R 2004'!J14+'TRT 2004'!J15)</f>
        <v>7450.62</v>
      </c>
      <c r="K15" s="19">
        <f>SUM('R 2004'!K14+'TRT 2004'!K15)</f>
        <v>6194.32</v>
      </c>
      <c r="L15" s="19">
        <f>SUM('R 2004'!L14+'TRT 2004'!L15)</f>
        <v>30236.59</v>
      </c>
      <c r="M15" s="19">
        <f>SUM('R 2004'!M14+'TRT 2004'!M15)</f>
        <v>5090.8899999999994</v>
      </c>
      <c r="N15" s="68">
        <f t="shared" si="1"/>
        <v>140306.32</v>
      </c>
      <c r="O15" s="19">
        <f>SUM('TOTAL 2003'!B15:M15)</f>
        <v>124261.43999999999</v>
      </c>
      <c r="P15" s="84">
        <f t="shared" si="0"/>
        <v>0.12912195448563946</v>
      </c>
      <c r="Q15" s="22">
        <f t="shared" si="2"/>
        <v>2.6461747005124508E-3</v>
      </c>
    </row>
    <row r="16" spans="1:17" ht="13" thickBot="1">
      <c r="A16" s="92" t="s">
        <v>28</v>
      </c>
      <c r="B16" s="19">
        <f>SUM('R 2004'!B15+'TRT 2004'!B16)</f>
        <v>14670.920000000002</v>
      </c>
      <c r="C16" s="19">
        <f>SUM('R 2004'!C15+'TRT 2004'!C16)</f>
        <v>24625.200000000001</v>
      </c>
      <c r="D16" s="19">
        <f>SUM('R 2004'!D15+'TRT 2004'!D16)</f>
        <v>5641.93</v>
      </c>
      <c r="E16" s="19">
        <f>SUM('R 2004'!E15+'TRT 2004'!E16)</f>
        <v>6356.65</v>
      </c>
      <c r="F16" s="19">
        <f>SUM('R 2004'!F15+'TRT 2004'!F16)</f>
        <v>23562.35</v>
      </c>
      <c r="G16" s="19">
        <f>SUM('R 2004'!G15+'TRT 2004'!G16)</f>
        <v>25990.03</v>
      </c>
      <c r="H16" s="19">
        <f>SUM('R 2004'!H15+'TRT 2004'!H16)</f>
        <v>33978.54</v>
      </c>
      <c r="I16" s="19">
        <f>SUM('R 2004'!I15+'TRT 2004'!I16)</f>
        <v>74973.06</v>
      </c>
      <c r="J16" s="19">
        <f>SUM('R 2004'!J15+'TRT 2004'!J16)</f>
        <v>33527.020000000004</v>
      </c>
      <c r="K16" s="19">
        <f>SUM('R 2004'!K15+'TRT 2004'!K16)</f>
        <v>34164.85</v>
      </c>
      <c r="L16" s="19">
        <f>SUM('R 2004'!L15+'TRT 2004'!L16)</f>
        <v>64667.94</v>
      </c>
      <c r="M16" s="19">
        <f>SUM('R 2004'!M15+'TRT 2004'!M16)</f>
        <v>47374.68</v>
      </c>
      <c r="N16" s="68">
        <f t="shared" si="1"/>
        <v>389533.17</v>
      </c>
      <c r="O16" s="19">
        <f>SUM('TOTAL 2003'!B16:M16)</f>
        <v>341145.37</v>
      </c>
      <c r="P16" s="84">
        <f t="shared" si="0"/>
        <v>0.14183923996975256</v>
      </c>
      <c r="Q16" s="22">
        <f t="shared" si="2"/>
        <v>7.3465886601859097E-3</v>
      </c>
    </row>
    <row r="17" spans="1:17" ht="13" thickBot="1">
      <c r="A17" s="92" t="s">
        <v>52</v>
      </c>
      <c r="B17" s="19">
        <f>'TRT 2004'!B17</f>
        <v>2380.89</v>
      </c>
      <c r="C17" s="19">
        <f>'TRT 2004'!C17</f>
        <v>12765.15</v>
      </c>
      <c r="D17" s="19">
        <f>'TRT 2004'!D17</f>
        <v>1547.52</v>
      </c>
      <c r="E17" s="19">
        <f>'TRT 2004'!E17</f>
        <v>2456.9699999999998</v>
      </c>
      <c r="F17" s="19">
        <f>'TRT 2004'!F17</f>
        <v>12961.95</v>
      </c>
      <c r="G17" s="19">
        <f>'TRT 2004'!G17</f>
        <v>1856.73</v>
      </c>
      <c r="H17" s="19">
        <f>'TRT 2004'!H17</f>
        <v>10790.78</v>
      </c>
      <c r="I17" s="19">
        <f>'TRT 2004'!I17</f>
        <v>14639.52</v>
      </c>
      <c r="J17" s="19">
        <f>'TRT 2004'!J17</f>
        <v>2798.42</v>
      </c>
      <c r="K17" s="19">
        <f>'TRT 2004'!K17</f>
        <v>4683.41</v>
      </c>
      <c r="L17" s="19">
        <f>'TRT 2004'!L17</f>
        <v>14017.11</v>
      </c>
      <c r="M17" s="19">
        <f>'TRT 2004'!M17</f>
        <v>2932.5</v>
      </c>
      <c r="N17" s="68">
        <f t="shared" si="1"/>
        <v>83830.95</v>
      </c>
      <c r="O17" s="19">
        <f>SUM('TOTAL 2003'!B17:M17)</f>
        <v>80550.929999999993</v>
      </c>
      <c r="P17" s="84">
        <f t="shared" si="0"/>
        <v>4.0719827815768328E-2</v>
      </c>
      <c r="Q17" s="22">
        <f t="shared" si="2"/>
        <v>1.5810502264611047E-3</v>
      </c>
    </row>
    <row r="18" spans="1:17" ht="13" thickBot="1">
      <c r="A18" s="92" t="s">
        <v>29</v>
      </c>
      <c r="B18" s="19">
        <f>SUM('R 2004'!B16+'CR 2004'!C7+'TRT 2004'!B18)</f>
        <v>720.67000000000007</v>
      </c>
      <c r="C18" s="19">
        <f>SUM('R 2004'!C16+'CR 2004'!D7+'TRT 2004'!C18)</f>
        <v>3847.9600000000005</v>
      </c>
      <c r="D18" s="19">
        <f>SUM('R 2004'!D16+'CR 2004'!E7+'TRT 2004'!D18)</f>
        <v>1638.6200000000001</v>
      </c>
      <c r="E18" s="19">
        <f>SUM('R 2004'!E16+'CR 2004'!F7+'TRT 2004'!E18)</f>
        <v>3163.61</v>
      </c>
      <c r="F18" s="19">
        <f>SUM('R 2004'!F16+'CR 2004'!G7+'TRT 2004'!F18)</f>
        <v>3824.87</v>
      </c>
      <c r="G18" s="19">
        <f>SUM('R 2004'!G16+'CR 2004'!H7+'TRT 2004'!G18)</f>
        <v>1345.98</v>
      </c>
      <c r="H18" s="19">
        <f>SUM('R 2004'!H16+'CR 2004'!I7+'TRT 2004'!H18)</f>
        <v>1056.27</v>
      </c>
      <c r="I18" s="19">
        <f>SUM('R 2004'!I16+'CR 2004'!J7+'TRT 2004'!I18)</f>
        <v>6324.81</v>
      </c>
      <c r="J18" s="19">
        <f>SUM('R 2004'!J16+'CR 2004'!K7+'TRT 2004'!J18)</f>
        <v>2214.5300000000002</v>
      </c>
      <c r="K18" s="19">
        <f>SUM('R 2004'!K16+'CR 2004'!L7+'TRT 2004'!K18)</f>
        <v>1458.65</v>
      </c>
      <c r="L18" s="19">
        <f>SUM('R 2004'!L16+'CR 2004'!M7+'TRT 2004'!L18)</f>
        <v>5408.2599999999993</v>
      </c>
      <c r="M18" s="19">
        <f>SUM('R 2004'!M16+'CR 2004'!N7+'TRT 2004'!M18)</f>
        <v>2763.0499999999997</v>
      </c>
      <c r="N18" s="68">
        <f t="shared" si="1"/>
        <v>33767.279999999999</v>
      </c>
      <c r="O18" s="19">
        <f>SUM('TOTAL 2003'!B18:M18)</f>
        <v>31113.45</v>
      </c>
      <c r="P18" s="84">
        <f t="shared" si="0"/>
        <v>8.5295266195166253E-2</v>
      </c>
      <c r="Q18" s="22">
        <f t="shared" si="2"/>
        <v>6.3685030040785094E-4</v>
      </c>
    </row>
    <row r="19" spans="1:17" ht="13" thickBot="1">
      <c r="A19" s="92" t="s">
        <v>53</v>
      </c>
      <c r="B19" s="19">
        <f>'TRT 2004'!B19</f>
        <v>84.48</v>
      </c>
      <c r="C19" s="19">
        <f>'TRT 2004'!C19</f>
        <v>968.87</v>
      </c>
      <c r="D19" s="19">
        <f>'TRT 2004'!D19</f>
        <v>0</v>
      </c>
      <c r="E19" s="19">
        <f>'TRT 2004'!E19</f>
        <v>659.66</v>
      </c>
      <c r="F19" s="19">
        <f>'TRT 2004'!F19</f>
        <v>355.46</v>
      </c>
      <c r="G19" s="19">
        <f>'TRT 2004'!G19</f>
        <v>188.04</v>
      </c>
      <c r="H19" s="19">
        <f>'TRT 2004'!H19</f>
        <v>195.66</v>
      </c>
      <c r="I19" s="19">
        <f>'TRT 2004'!I19</f>
        <v>1976.98</v>
      </c>
      <c r="J19" s="19">
        <f>'TRT 2004'!J19</f>
        <v>363.79</v>
      </c>
      <c r="K19" s="19">
        <f>'TRT 2004'!K19</f>
        <v>1430.62</v>
      </c>
      <c r="L19" s="19">
        <f>'TRT 2004'!L19</f>
        <v>3838.42</v>
      </c>
      <c r="M19" s="19">
        <f>'TRT 2004'!M19</f>
        <v>973.72</v>
      </c>
      <c r="N19" s="68">
        <f t="shared" si="1"/>
        <v>11035.699999999999</v>
      </c>
      <c r="O19" s="19">
        <f>SUM('TOTAL 2003'!B19:M19)</f>
        <v>6943.11</v>
      </c>
      <c r="P19" s="84">
        <f t="shared" si="0"/>
        <v>0.58944622798716995</v>
      </c>
      <c r="Q19" s="22">
        <f t="shared" si="2"/>
        <v>2.0813310578201503E-4</v>
      </c>
    </row>
    <row r="20" spans="1:17" ht="13" thickBot="1">
      <c r="A20" s="92" t="s">
        <v>30</v>
      </c>
      <c r="B20" s="19">
        <f>SUM('R 2004'!B17+'TRT 2004'!B20)</f>
        <v>3624.71</v>
      </c>
      <c r="C20" s="19">
        <f>SUM('R 2004'!C17+'TRT 2004'!C20)</f>
        <v>5823.88</v>
      </c>
      <c r="D20" s="19">
        <f>SUM('R 2004'!D17+'TRT 2004'!D20)</f>
        <v>319.95999999999998</v>
      </c>
      <c r="E20" s="19">
        <f>SUM('R 2004'!E17+'TRT 2004'!E20)</f>
        <v>337</v>
      </c>
      <c r="F20" s="19">
        <f>SUM('R 2004'!F17+'TRT 2004'!F20)</f>
        <v>672.9</v>
      </c>
      <c r="G20" s="19">
        <f>SUM('R 2004'!G17+'TRT 2004'!G20)</f>
        <v>2808.93</v>
      </c>
      <c r="H20" s="19">
        <f>SUM('R 2004'!H17+'TRT 2004'!H20)</f>
        <v>408.03</v>
      </c>
      <c r="I20" s="19">
        <f>SUM('R 2004'!I17+'TRT 2004'!I20)</f>
        <v>10073.44</v>
      </c>
      <c r="J20" s="19">
        <f>SUM('R 2004'!J17+'TRT 2004'!J20)</f>
        <v>3436.11</v>
      </c>
      <c r="K20" s="19">
        <f>SUM('R 2004'!K17+'TRT 2004'!K20)</f>
        <v>3100.87</v>
      </c>
      <c r="L20" s="19">
        <f>SUM('R 2004'!L17+'TRT 2004'!L20)</f>
        <v>28327.23</v>
      </c>
      <c r="M20" s="19">
        <f>SUM('R 2004'!M17+'TRT 2004'!M20)</f>
        <v>403.05</v>
      </c>
      <c r="N20" s="68">
        <f t="shared" si="1"/>
        <v>59336.11</v>
      </c>
      <c r="O20" s="19">
        <f>SUM('TOTAL 2003'!B20:M20)</f>
        <v>79930.16</v>
      </c>
      <c r="P20" s="84">
        <f t="shared" si="0"/>
        <v>-0.25765055393358405</v>
      </c>
      <c r="Q20" s="22">
        <f t="shared" si="2"/>
        <v>1.1190779795865493E-3</v>
      </c>
    </row>
    <row r="21" spans="1:17" ht="13" thickBot="1">
      <c r="A21" s="92" t="s">
        <v>31</v>
      </c>
      <c r="B21" s="19">
        <f>SUM('R 2004'!B18+'CR 2004'!C8+'TRT 2004'!B39+'TRT 2004'!B21)</f>
        <v>1706735.83</v>
      </c>
      <c r="C21" s="19">
        <f>SUM('R 2004'!C18+'CR 2004'!D8+'TRT 2004'!C39+'TRT 2004'!C21)</f>
        <v>2400233.7000000002</v>
      </c>
      <c r="D21" s="19">
        <f>SUM('R 2004'!D18+'CR 2004'!E8+'TRT 2004'!D39+'TRT 2004'!D21)</f>
        <v>2279178.7200000002</v>
      </c>
      <c r="E21" s="19">
        <f>SUM('R 2004'!E18+'CR 2004'!F8+'TRT 2004'!E39+'TRT 2004'!E21)</f>
        <v>2598149.46</v>
      </c>
      <c r="F21" s="19">
        <f>SUM('R 2004'!F18+'CR 2004'!G8+'TRT 2004'!F39+'TRT 2004'!F21)</f>
        <v>2872812.3499999996</v>
      </c>
      <c r="G21" s="19">
        <f>SUM('R 2004'!G18+'CR 2004'!H8+'TRT 2004'!G39+'TRT 2004'!G21)</f>
        <v>2507107.5500000003</v>
      </c>
      <c r="H21" s="19">
        <f>SUM('R 2004'!H18+'CR 2004'!I8+'TRT 2004'!H39+'TRT 2004'!H21)</f>
        <v>1911275.25</v>
      </c>
      <c r="I21" s="19">
        <f>SUM('R 2004'!I18+'CR 2004'!J8+'TRT 2004'!I39+'TRT 2004'!I21)</f>
        <v>2612284</v>
      </c>
      <c r="J21" s="19">
        <f>SUM('R 2004'!J18+'CR 2004'!K8+'TRT 2004'!J39+'TRT 2004'!J21)</f>
        <v>2299435.86</v>
      </c>
      <c r="K21" s="19">
        <f>SUM('R 2004'!K18+'CR 2004'!L8+'TRT 2004'!K39+'TRT 2004'!K21)</f>
        <v>2559572.81</v>
      </c>
      <c r="L21" s="19">
        <f>SUM('R 2004'!L18+'CR 2004'!M8+'TRT 2004'!L39+'TRT 2004'!L21)</f>
        <v>2613436.6500000004</v>
      </c>
      <c r="M21" s="19">
        <f>SUM('R 2004'!M18+'CR 2004'!N8+'TRT 2004'!M39+'TRT 2004'!M21)</f>
        <v>2118390.7200000002</v>
      </c>
      <c r="N21" s="68">
        <f t="shared" si="1"/>
        <v>28478612.899999999</v>
      </c>
      <c r="O21" s="19">
        <f>SUM('TOTAL 2003'!B21:M21)</f>
        <v>27708581.280000001</v>
      </c>
      <c r="P21" s="84">
        <f t="shared" si="0"/>
        <v>2.7790366176409176E-2</v>
      </c>
      <c r="Q21" s="22">
        <f t="shared" si="2"/>
        <v>0.53710613293590426</v>
      </c>
    </row>
    <row r="22" spans="1:17" ht="13" thickBot="1">
      <c r="A22" s="92" t="s">
        <v>45</v>
      </c>
      <c r="B22" s="19">
        <f>'R 2004'!B19+'TRT 2004'!B22</f>
        <v>1163.49</v>
      </c>
      <c r="C22" s="19">
        <f>'R 2004'!C19+'TRT 2004'!C22</f>
        <v>17134.82</v>
      </c>
      <c r="D22" s="19">
        <f>'R 2004'!D19+'TRT 2004'!D22</f>
        <v>1704.34</v>
      </c>
      <c r="E22" s="19">
        <f>'R 2004'!E19+'TRT 2004'!E22</f>
        <v>8438.4500000000007</v>
      </c>
      <c r="F22" s="19">
        <f>'R 2004'!F19+'TRT 2004'!F22</f>
        <v>18330.330000000002</v>
      </c>
      <c r="G22" s="19">
        <f>'R 2004'!G19+'TRT 2004'!G22</f>
        <v>12592.32</v>
      </c>
      <c r="H22" s="19">
        <f>'R 2004'!H19+'TRT 2004'!H22</f>
        <v>14177.44</v>
      </c>
      <c r="I22" s="19">
        <f>'R 2004'!I19+'TRT 2004'!I22</f>
        <v>54904.11</v>
      </c>
      <c r="J22" s="19">
        <f>'R 2004'!J19+'TRT 2004'!J22</f>
        <v>14173.97</v>
      </c>
      <c r="K22" s="19">
        <f>'R 2004'!K19+'TRT 2004'!K22</f>
        <v>16146.95</v>
      </c>
      <c r="L22" s="19">
        <f>'R 2004'!L19+'TRT 2004'!L22</f>
        <v>57890.91</v>
      </c>
      <c r="M22" s="19">
        <f>'R 2004'!M19+'TRT 2004'!M22</f>
        <v>13621.28</v>
      </c>
      <c r="N22" s="68">
        <f t="shared" si="1"/>
        <v>230278.41</v>
      </c>
      <c r="O22" s="19">
        <f>SUM('TOTAL 2003'!B22:M22)</f>
        <v>218819.94</v>
      </c>
      <c r="P22" s="84">
        <f t="shared" si="0"/>
        <v>5.2364834758660495E-2</v>
      </c>
      <c r="Q22" s="22">
        <f t="shared" si="2"/>
        <v>4.3430467181822842E-3</v>
      </c>
    </row>
    <row r="23" spans="1:17" ht="13" thickBot="1">
      <c r="A23" s="92" t="s">
        <v>32</v>
      </c>
      <c r="B23" s="19">
        <f>SUM('R 2004'!B20+'TRT 2004'!B23)</f>
        <v>3015.3900000000003</v>
      </c>
      <c r="C23" s="19">
        <f>SUM('R 2004'!C20+'TRT 2004'!C23)</f>
        <v>17897.32</v>
      </c>
      <c r="D23" s="19">
        <f>SUM('R 2004'!D20+'TRT 2004'!D23)</f>
        <v>4051.9900000000002</v>
      </c>
      <c r="E23" s="19">
        <f>SUM('R 2004'!E20+'TRT 2004'!E23)</f>
        <v>7138.09</v>
      </c>
      <c r="F23" s="19">
        <f>SUM('R 2004'!F20+'TRT 2004'!F23)</f>
        <v>14646.67</v>
      </c>
      <c r="G23" s="19">
        <f>SUM('R 2004'!G20+'TRT 2004'!G23)</f>
        <v>6754.28</v>
      </c>
      <c r="H23" s="19">
        <f>SUM('R 2004'!H20+'TRT 2004'!H23)</f>
        <v>5139.49</v>
      </c>
      <c r="I23" s="19">
        <f>SUM('R 2004'!I20+'TRT 2004'!I23)</f>
        <v>21827.64</v>
      </c>
      <c r="J23" s="19">
        <f>SUM('R 2004'!J20+'TRT 2004'!J23)</f>
        <v>5033.68</v>
      </c>
      <c r="K23" s="19">
        <f>SUM('R 2004'!K20+'TRT 2004'!K23)</f>
        <v>4483.8999999999996</v>
      </c>
      <c r="L23" s="19">
        <f>SUM('R 2004'!L20+'TRT 2004'!L23)</f>
        <v>23543.9</v>
      </c>
      <c r="M23" s="19">
        <f>SUM('R 2004'!M20+'TRT 2004'!M23)</f>
        <v>5430.38</v>
      </c>
      <c r="N23" s="68">
        <f t="shared" si="1"/>
        <v>118962.72999999998</v>
      </c>
      <c r="O23" s="19">
        <f>SUM('TOTAL 2003'!B23:M23)</f>
        <v>111818.62</v>
      </c>
      <c r="P23" s="84">
        <f t="shared" si="0"/>
        <v>6.3890164267811356E-2</v>
      </c>
      <c r="Q23" s="22">
        <f t="shared" si="2"/>
        <v>2.2436349726077448E-3</v>
      </c>
    </row>
    <row r="24" spans="1:17" ht="13" thickBot="1">
      <c r="A24" s="92" t="s">
        <v>33</v>
      </c>
      <c r="B24" s="19">
        <f>SUM('R 2004'!B21+'CR 2004'!C9+'TRT 2004'!B24)</f>
        <v>8438.2000000000007</v>
      </c>
      <c r="C24" s="19">
        <f>SUM('R 2004'!C21+'CR 2004'!D9+'TRT 2004'!C24)</f>
        <v>37271.130000000005</v>
      </c>
      <c r="D24" s="19">
        <f>SUM('R 2004'!D21+'CR 2004'!E9+'TRT 2004'!D24)</f>
        <v>23130.75</v>
      </c>
      <c r="E24" s="19">
        <f>SUM('R 2004'!E21+'CR 2004'!F9+'TRT 2004'!E24)</f>
        <v>7926.1200000000008</v>
      </c>
      <c r="F24" s="19">
        <f>SUM('R 2004'!F21+'CR 2004'!G9+'TRT 2004'!F24)</f>
        <v>40716.71</v>
      </c>
      <c r="G24" s="19">
        <f>SUM('R 2004'!G21+'CR 2004'!H9+'TRT 2004'!G24)</f>
        <v>17149.62</v>
      </c>
      <c r="H24" s="19">
        <f>SUM('R 2004'!H21+'CR 2004'!I9+'TRT 2004'!H24)</f>
        <v>16710.16</v>
      </c>
      <c r="I24" s="19">
        <f>SUM('R 2004'!I21+'CR 2004'!J9+'TRT 2004'!I24)</f>
        <v>80576.680000000008</v>
      </c>
      <c r="J24" s="19">
        <f>SUM('R 2004'!J21+'CR 2004'!K9+'TRT 2004'!J24)</f>
        <v>20785.809999999998</v>
      </c>
      <c r="K24" s="19">
        <f>SUM('R 2004'!K21+'CR 2004'!L9+'TRT 2004'!K24)</f>
        <v>20715.510000000002</v>
      </c>
      <c r="L24" s="19">
        <f>SUM('R 2004'!L21+'CR 2004'!M9+'TRT 2004'!L24)</f>
        <v>77923.070000000007</v>
      </c>
      <c r="M24" s="19">
        <f>SUM('R 2004'!M21+'CR 2004'!N9+'TRT 2004'!M24)</f>
        <v>15159.01</v>
      </c>
      <c r="N24" s="68">
        <f t="shared" si="1"/>
        <v>366502.77</v>
      </c>
      <c r="O24" s="19">
        <f>SUM('TOTAL 2003'!B24:M24)</f>
        <v>355710.98</v>
      </c>
      <c r="P24" s="84">
        <f t="shared" si="0"/>
        <v>3.0338647404136942E-2</v>
      </c>
      <c r="Q24" s="22">
        <f t="shared" si="2"/>
        <v>6.9122357256731822E-3</v>
      </c>
    </row>
    <row r="25" spans="1:17" ht="13" thickBot="1">
      <c r="A25" s="92" t="s">
        <v>34</v>
      </c>
      <c r="B25" s="19">
        <f>SUM('R 2004'!B22+'TRT 2004'!B25)</f>
        <v>121555.17000000001</v>
      </c>
      <c r="C25" s="19">
        <f>SUM('R 2004'!C22+'TRT 2004'!C25)</f>
        <v>549717.77</v>
      </c>
      <c r="D25" s="19">
        <f>SUM('R 2004'!D22+'TRT 2004'!D25)</f>
        <v>701582.22</v>
      </c>
      <c r="E25" s="19">
        <f>SUM('R 2004'!E22+'TRT 2004'!E25)</f>
        <v>771895.54</v>
      </c>
      <c r="F25" s="19">
        <f>SUM('R 2004'!F22+'TRT 2004'!F25)</f>
        <v>945241.53</v>
      </c>
      <c r="G25" s="19">
        <f>SUM('R 2004'!G22+'TRT 2004'!G25)</f>
        <v>205430.56</v>
      </c>
      <c r="H25" s="19">
        <f>SUM('R 2004'!H22+'TRT 2004'!H25)</f>
        <v>90021.81</v>
      </c>
      <c r="I25" s="19">
        <f>SUM('R 2004'!I22+'TRT 2004'!I25)</f>
        <v>190577.41</v>
      </c>
      <c r="J25" s="19">
        <f>SUM('R 2004'!J22+'TRT 2004'!J25)</f>
        <v>234008.65000000002</v>
      </c>
      <c r="K25" s="19">
        <f>SUM('R 2004'!K22+'TRT 2004'!K25)</f>
        <v>246336.57</v>
      </c>
      <c r="L25" s="19">
        <f>SUM('R 2004'!L22+'TRT 2004'!L25)</f>
        <v>242721.12</v>
      </c>
      <c r="M25" s="19">
        <f>SUM('R 2004'!M22+'TRT 2004'!M25)</f>
        <v>143026.35999999999</v>
      </c>
      <c r="N25" s="68">
        <f t="shared" si="1"/>
        <v>4442114.7100000009</v>
      </c>
      <c r="O25" s="19">
        <f>SUM('TOTAL 2003'!B25:M25)</f>
        <v>4285579.0999999996</v>
      </c>
      <c r="P25" s="84">
        <f t="shared" si="0"/>
        <v>3.6526127822492205E-2</v>
      </c>
      <c r="Q25" s="22">
        <f t="shared" si="2"/>
        <v>8.3778204448496721E-2</v>
      </c>
    </row>
    <row r="26" spans="1:17" ht="13" thickBot="1">
      <c r="A26" s="92" t="s">
        <v>35</v>
      </c>
      <c r="B26" s="19">
        <f>SUM('R 2004'!B23+'TRT 2004'!B26)</f>
        <v>26317.69</v>
      </c>
      <c r="C26" s="19">
        <f>SUM('R 2004'!C23+'TRT 2004'!C26)</f>
        <v>29717.730000000003</v>
      </c>
      <c r="D26" s="19">
        <f>SUM('R 2004'!D23+'TRT 2004'!D26)</f>
        <v>19437.599999999999</v>
      </c>
      <c r="E26" s="19">
        <f>SUM('R 2004'!E23+'TRT 2004'!E26)</f>
        <v>16380.58</v>
      </c>
      <c r="F26" s="19">
        <f>SUM('R 2004'!F23+'TRT 2004'!F26)</f>
        <v>38690.03</v>
      </c>
      <c r="G26" s="19">
        <f>SUM('R 2004'!G23+'TRT 2004'!G26)</f>
        <v>28856.29</v>
      </c>
      <c r="H26" s="19">
        <f>SUM('R 2004'!H23+'TRT 2004'!H26)</f>
        <v>20938.760000000002</v>
      </c>
      <c r="I26" s="19">
        <f>SUM('R 2004'!I23+'TRT 2004'!I26)</f>
        <v>61229.03</v>
      </c>
      <c r="J26" s="19">
        <f>SUM('R 2004'!J23+'TRT 2004'!J26)</f>
        <v>26049.73</v>
      </c>
      <c r="K26" s="19">
        <f>SUM('R 2004'!K23+'TRT 2004'!K26)</f>
        <v>25406.41</v>
      </c>
      <c r="L26" s="19">
        <f>SUM('R 2004'!L23+'TRT 2004'!L26)</f>
        <v>61903.42</v>
      </c>
      <c r="M26" s="19">
        <f>SUM('R 2004'!M23+'TRT 2004'!M26)</f>
        <v>25734.67</v>
      </c>
      <c r="N26" s="68">
        <f t="shared" si="1"/>
        <v>380661.93999999994</v>
      </c>
      <c r="O26" s="19">
        <f>SUM('TOTAL 2003'!B26:M26)</f>
        <v>393939.88</v>
      </c>
      <c r="P26" s="84">
        <f t="shared" si="0"/>
        <v>-3.3705498412600621E-2</v>
      </c>
      <c r="Q26" s="22">
        <f t="shared" si="2"/>
        <v>7.1792774201189825E-3</v>
      </c>
    </row>
    <row r="27" spans="1:17" ht="13" thickBot="1">
      <c r="A27" s="92" t="s">
        <v>36</v>
      </c>
      <c r="B27" s="19">
        <f>SUM('R 2004'!B24+'CR 2004'!C10+'TRT 2004'!B27)</f>
        <v>20560.849999999999</v>
      </c>
      <c r="C27" s="19">
        <f>SUM('R 2004'!C24+'CR 2004'!D10+'TRT 2004'!C27)</f>
        <v>38192.18</v>
      </c>
      <c r="D27" s="19">
        <f>SUM('R 2004'!D24+'CR 2004'!E10+'TRT 2004'!D27)</f>
        <v>21391.42</v>
      </c>
      <c r="E27" s="19">
        <f>SUM('R 2004'!E24+'CR 2004'!F10+'TRT 2004'!E27)</f>
        <v>21471.56</v>
      </c>
      <c r="F27" s="19">
        <f>SUM('R 2004'!F24+'CR 2004'!G10+'TRT 2004'!F27)</f>
        <v>35085.740000000005</v>
      </c>
      <c r="G27" s="19">
        <f>SUM('R 2004'!G24+'CR 2004'!H10+'TRT 2004'!G27)</f>
        <v>27740.71</v>
      </c>
      <c r="H27" s="19">
        <f>SUM('R 2004'!H24+'CR 2004'!I10+'TRT 2004'!H27)</f>
        <v>20936.25</v>
      </c>
      <c r="I27" s="19">
        <f>SUM('R 2004'!I24+'CR 2004'!J10+'TRT 2004'!I27)</f>
        <v>57966.229999999996</v>
      </c>
      <c r="J27" s="19">
        <f>SUM('R 2004'!J24+'CR 2004'!K10+'TRT 2004'!J27)</f>
        <v>37902.559999999998</v>
      </c>
      <c r="K27" s="19">
        <f>SUM('R 2004'!K24+'CR 2004'!L10+'TRT 2004'!K27)</f>
        <v>30060.62</v>
      </c>
      <c r="L27" s="19">
        <f>SUM('R 2004'!L24+'CR 2004'!M10+'TRT 2004'!L27)</f>
        <v>61992.04</v>
      </c>
      <c r="M27" s="19">
        <f>SUM('R 2004'!M24+'CR 2004'!N10+'TRT 2004'!M27)</f>
        <v>25345.5</v>
      </c>
      <c r="N27" s="68">
        <f t="shared" si="1"/>
        <v>398645.66</v>
      </c>
      <c r="O27" s="19">
        <f>SUM('TOTAL 2003'!B27:M27)</f>
        <v>342158.50999999995</v>
      </c>
      <c r="P27" s="84">
        <f t="shared" si="0"/>
        <v>0.16509058915413211</v>
      </c>
      <c r="Q27" s="22">
        <f t="shared" si="2"/>
        <v>7.5184500595631629E-3</v>
      </c>
    </row>
    <row r="28" spans="1:17" ht="13" thickBot="1">
      <c r="A28" s="92" t="s">
        <v>37</v>
      </c>
      <c r="B28" s="19">
        <f>SUM('R 2004'!B25+'TRT 2004'!B28+'CR 2004'!C11)</f>
        <v>283751.70999999996</v>
      </c>
      <c r="C28" s="19">
        <f>SUM('R 2004'!C25+'TRT 2004'!C28+'CR 2004'!D11)</f>
        <v>377946.82</v>
      </c>
      <c r="D28" s="19">
        <f>SUM('R 2004'!D25+'TRT 2004'!D28+'CR 2004'!E11)</f>
        <v>291029.58999999997</v>
      </c>
      <c r="E28" s="19">
        <f>SUM('R 2004'!E25+'TRT 2004'!E28+'CR 2004'!F11)</f>
        <v>234440.26</v>
      </c>
      <c r="F28" s="19">
        <f>SUM('R 2004'!F25+'TRT 2004'!F28+'CR 2004'!G11)</f>
        <v>363341.67</v>
      </c>
      <c r="G28" s="19">
        <f>SUM('R 2004'!G25+'TRT 2004'!G28+'CR 2004'!H11)</f>
        <v>473907.87</v>
      </c>
      <c r="H28" s="19">
        <f>SUM('R 2004'!H25+'TRT 2004'!H28+'CR 2004'!I11)</f>
        <v>340754.62</v>
      </c>
      <c r="I28" s="19">
        <f>SUM('R 2004'!I25+'TRT 2004'!I28+'CR 2004'!J11)</f>
        <v>425358.88</v>
      </c>
      <c r="J28" s="19">
        <f>SUM('R 2004'!J25+'TRT 2004'!J28+'CR 2004'!K11)</f>
        <v>452912.95000000007</v>
      </c>
      <c r="K28" s="19">
        <f>SUM('R 2004'!K25+'TRT 2004'!K28+'CR 2004'!L11)</f>
        <v>349839.1</v>
      </c>
      <c r="L28" s="19">
        <f>SUM('R 2004'!L25+'TRT 2004'!L28+'CR 2004'!M11)</f>
        <v>451743.6</v>
      </c>
      <c r="M28" s="19">
        <f>SUM('R 2004'!M25+'TRT 2004'!M28+'CR 2004'!N11)</f>
        <v>332705.57</v>
      </c>
      <c r="N28" s="68">
        <f t="shared" si="1"/>
        <v>4377732.6400000006</v>
      </c>
      <c r="O28" s="19">
        <f>SUM('TOTAL 2003'!B28:M28)</f>
        <v>3816557.25</v>
      </c>
      <c r="P28" s="84">
        <f t="shared" si="0"/>
        <v>0.14703706855176879</v>
      </c>
      <c r="Q28" s="22">
        <f t="shared" si="2"/>
        <v>8.2563959753028812E-2</v>
      </c>
    </row>
    <row r="29" spans="1:17" ht="13" thickBot="1">
      <c r="A29" s="92" t="s">
        <v>38</v>
      </c>
      <c r="B29" s="19">
        <f>SUM('R 2004'!B26+'TRT 2004'!B29)</f>
        <v>13978.61</v>
      </c>
      <c r="C29" s="19">
        <f>SUM('R 2004'!C26+'TRT 2004'!C29)</f>
        <v>49078.45</v>
      </c>
      <c r="D29" s="19">
        <f>SUM('R 2004'!D26+'TRT 2004'!D29)</f>
        <v>23863.22</v>
      </c>
      <c r="E29" s="19">
        <f>SUM('R 2004'!E26+'TRT 2004'!E29)</f>
        <v>29007.019999999997</v>
      </c>
      <c r="F29" s="19">
        <f>SUM('R 2004'!F26+'TRT 2004'!F29)</f>
        <v>35943.009999999995</v>
      </c>
      <c r="G29" s="19">
        <f>SUM('R 2004'!G26+'TRT 2004'!G29)</f>
        <v>17262.55</v>
      </c>
      <c r="H29" s="19">
        <f>SUM('R 2004'!H26+'TRT 2004'!H29)</f>
        <v>28925.07</v>
      </c>
      <c r="I29" s="19">
        <f>SUM('R 2004'!I26+'TRT 2004'!I29)</f>
        <v>52882.04</v>
      </c>
      <c r="J29" s="19">
        <f>SUM('R 2004'!J26+'TRT 2004'!J29)</f>
        <v>40910.959999999999</v>
      </c>
      <c r="K29" s="19">
        <f>SUM('R 2004'!K26+'TRT 2004'!K29)</f>
        <v>37350.589999999997</v>
      </c>
      <c r="L29" s="19">
        <f>SUM('R 2004'!L26+'TRT 2004'!L29)</f>
        <v>59954.31</v>
      </c>
      <c r="M29" s="19">
        <f>SUM('R 2004'!M26+'TRT 2004'!M29)</f>
        <v>22881.71</v>
      </c>
      <c r="N29" s="68">
        <f t="shared" si="1"/>
        <v>412037.54000000004</v>
      </c>
      <c r="O29" s="19">
        <f>SUM('TOTAL 2003'!B29:M29)</f>
        <v>405819.92000000004</v>
      </c>
      <c r="P29" s="84">
        <f t="shared" si="0"/>
        <v>1.5321130613795475E-2</v>
      </c>
      <c r="Q29" s="22">
        <f t="shared" si="2"/>
        <v>7.7710206782516077E-3</v>
      </c>
    </row>
    <row r="30" spans="1:17" ht="13" thickBot="1">
      <c r="A30" s="92" t="s">
        <v>39</v>
      </c>
      <c r="B30" s="19">
        <f>SUM('R 2004'!B27+'CR 2004'!C12+'TRT 2004'!B30)</f>
        <v>171219.16000000003</v>
      </c>
      <c r="C30" s="19">
        <f>SUM('R 2004'!C27+'CR 2004'!D12+'TRT 2004'!C30)</f>
        <v>239108.33000000002</v>
      </c>
      <c r="D30" s="19">
        <f>SUM('R 2004'!D27+'CR 2004'!E12+'TRT 2004'!D30)</f>
        <v>150926.85999999999</v>
      </c>
      <c r="E30" s="19">
        <f>SUM('R 2004'!E27+'CR 2004'!F12+'TRT 2004'!E30)</f>
        <v>174634.21</v>
      </c>
      <c r="F30" s="19">
        <f>SUM('R 2004'!F27+'CR 2004'!G12+'TRT 2004'!F30)</f>
        <v>322142.66000000003</v>
      </c>
      <c r="G30" s="19">
        <f>SUM('R 2004'!G27+'CR 2004'!H12+'TRT 2004'!G30)</f>
        <v>231250.69</v>
      </c>
      <c r="H30" s="19">
        <f>SUM('R 2004'!H27+'CR 2004'!I12+'TRT 2004'!H30)</f>
        <v>216616.47</v>
      </c>
      <c r="I30" s="19">
        <f>SUM('R 2004'!I27+'CR 2004'!J12+'TRT 2004'!I30)</f>
        <v>409436.67000000004</v>
      </c>
      <c r="J30" s="19">
        <f>SUM('R 2004'!J27+'CR 2004'!K12+'TRT 2004'!J30)</f>
        <v>217268.45</v>
      </c>
      <c r="K30" s="19">
        <f>SUM('R 2004'!K27+'CR 2004'!L12+'TRT 2004'!K30)</f>
        <v>235601.53</v>
      </c>
      <c r="L30" s="19">
        <f>SUM('R 2004'!L27+'CR 2004'!M12+'TRT 2004'!L30)</f>
        <v>363496.23</v>
      </c>
      <c r="M30" s="19">
        <f>SUM('R 2004'!M27+'CR 2004'!N12+'TRT 2004'!M30)</f>
        <v>257230.31999999998</v>
      </c>
      <c r="N30" s="68">
        <f t="shared" si="1"/>
        <v>2988931.58</v>
      </c>
      <c r="O30" s="19">
        <f>SUM('TOTAL 2003'!B30:M30)</f>
        <v>2596469.88</v>
      </c>
      <c r="P30" s="84">
        <f t="shared" si="0"/>
        <v>0.15115203262053645</v>
      </c>
      <c r="Q30" s="22">
        <f t="shared" si="2"/>
        <v>5.6371196454719268E-2</v>
      </c>
    </row>
    <row r="31" spans="1:17" ht="13" thickBot="1">
      <c r="A31" s="92" t="s">
        <v>40</v>
      </c>
      <c r="B31" s="19">
        <f>SUM('R 2004'!B28+'TRT 2004'!B31)</f>
        <v>2384.0100000000002</v>
      </c>
      <c r="C31" s="19">
        <f>SUM('R 2004'!C28+'TRT 2004'!C31)</f>
        <v>10207.57</v>
      </c>
      <c r="D31" s="19">
        <f>SUM('R 2004'!D28+'TRT 2004'!D31)</f>
        <v>3192.75</v>
      </c>
      <c r="E31" s="19">
        <f>SUM('R 2004'!E28+'TRT 2004'!E31)</f>
        <v>4918.24</v>
      </c>
      <c r="F31" s="19">
        <f>SUM('R 2004'!F28+'TRT 2004'!F31)</f>
        <v>7868.5399999999991</v>
      </c>
      <c r="G31" s="19">
        <f>SUM('R 2004'!G28+'TRT 2004'!G31)</f>
        <v>2743.02</v>
      </c>
      <c r="H31" s="19">
        <f>SUM('R 2004'!H28+'TRT 2004'!H31)</f>
        <v>3966.6899999999996</v>
      </c>
      <c r="I31" s="19">
        <f>SUM('R 2004'!I28+'TRT 2004'!I31)</f>
        <v>38252.69</v>
      </c>
      <c r="J31" s="19">
        <f>SUM('R 2004'!J28+'TRT 2004'!J31)</f>
        <v>7077.82</v>
      </c>
      <c r="K31" s="19">
        <f>SUM('R 2004'!K28+'TRT 2004'!K31)</f>
        <v>6517.25</v>
      </c>
      <c r="L31" s="19">
        <f>SUM('R 2004'!L28+'TRT 2004'!L31)</f>
        <v>8899.8799999999992</v>
      </c>
      <c r="M31" s="19">
        <f>SUM('R 2004'!M28+'TRT 2004'!M31)</f>
        <v>11440.35</v>
      </c>
      <c r="N31" s="68">
        <f t="shared" si="1"/>
        <v>107468.81000000003</v>
      </c>
      <c r="O31" s="19">
        <f>SUM('TOTAL 2003'!B31:M31)</f>
        <v>134189.99</v>
      </c>
      <c r="P31" s="84">
        <f t="shared" si="0"/>
        <v>-0.19912945816599259</v>
      </c>
      <c r="Q31" s="22">
        <f t="shared" si="2"/>
        <v>2.0268598457730169E-3</v>
      </c>
    </row>
    <row r="32" spans="1:17" ht="13" thickBot="1">
      <c r="A32" s="93" t="s">
        <v>41</v>
      </c>
      <c r="B32" s="20">
        <f>SUM('R 2004'!B29+'CR 2004'!C13+'TRT 2004'!B32)</f>
        <v>146941.94</v>
      </c>
      <c r="C32" s="20">
        <f>SUM('R 2004'!C29+'CR 2004'!D13+'TRT 2004'!C32)</f>
        <v>282567.69</v>
      </c>
      <c r="D32" s="20">
        <f>SUM('R 2004'!D29+'CR 2004'!E13+'TRT 2004'!D32)</f>
        <v>161619.25</v>
      </c>
      <c r="E32" s="20">
        <f>SUM('R 2004'!E29+'CR 2004'!F13+'TRT 2004'!E32)</f>
        <v>160284.85</v>
      </c>
      <c r="F32" s="20">
        <f>SUM('R 2004'!F29+'CR 2004'!G13+'TRT 2004'!F32)</f>
        <v>255656.82</v>
      </c>
      <c r="G32" s="20">
        <f>SUM('R 2004'!G29+'CR 2004'!H13+'TRT 2004'!G32)</f>
        <v>238130.59000000003</v>
      </c>
      <c r="H32" s="20">
        <f>SUM('R 2004'!H29+'CR 2004'!I13+'TRT 2004'!H32)</f>
        <v>180122.79</v>
      </c>
      <c r="I32" s="20">
        <f>SUM('R 2004'!I29+'CR 2004'!J13+'TRT 2004'!I32)</f>
        <v>297135.62</v>
      </c>
      <c r="J32" s="20">
        <f>SUM('R 2004'!J29+'CR 2004'!K13+'TRT 2004'!J32)</f>
        <v>188544</v>
      </c>
      <c r="K32" s="20">
        <f>SUM('R 2004'!K29+'CR 2004'!L13+'TRT 2004'!K32)</f>
        <v>187473.81</v>
      </c>
      <c r="L32" s="20">
        <f>SUM('R 2004'!L29+'CR 2004'!M13+'TRT 2004'!L32)</f>
        <v>231018.69</v>
      </c>
      <c r="M32" s="20">
        <f>SUM('R 2004'!M29+'CR 2004'!N13+'TRT 2004'!M32)</f>
        <v>177615.59999999998</v>
      </c>
      <c r="N32" s="68">
        <f t="shared" si="1"/>
        <v>2507111.6500000004</v>
      </c>
      <c r="O32" s="20">
        <f>SUM('TOTAL 2003'!B32:M32)</f>
        <v>2472580.86</v>
      </c>
      <c r="P32" s="85">
        <f t="shared" si="0"/>
        <v>1.3965484631309755E-2</v>
      </c>
      <c r="Q32" s="21">
        <f t="shared" si="2"/>
        <v>4.7284081141819041E-2</v>
      </c>
    </row>
    <row r="33" spans="1:17" ht="14" thickTop="1" thickBot="1">
      <c r="A33" s="94" t="s">
        <v>54</v>
      </c>
      <c r="B33" s="80">
        <f>SUM(B4:B32)</f>
        <v>2869091.88</v>
      </c>
      <c r="C33" s="71">
        <f t="shared" ref="C33:M33" si="3">SUM(C4:C32)</f>
        <v>4749641.5900000008</v>
      </c>
      <c r="D33" s="58">
        <f t="shared" si="3"/>
        <v>4062379.32</v>
      </c>
      <c r="E33" s="58">
        <f t="shared" si="3"/>
        <v>4498638.4800000004</v>
      </c>
      <c r="F33" s="58">
        <f t="shared" si="3"/>
        <v>5742943.3100000005</v>
      </c>
      <c r="G33" s="58">
        <f t="shared" si="3"/>
        <v>4464110.1999999993</v>
      </c>
      <c r="H33" s="58">
        <f t="shared" si="3"/>
        <v>3503566.7600000002</v>
      </c>
      <c r="I33" s="58">
        <f t="shared" si="3"/>
        <v>5416507.6600000011</v>
      </c>
      <c r="J33" s="58">
        <f t="shared" si="3"/>
        <v>4288549.8500000006</v>
      </c>
      <c r="K33" s="58">
        <f t="shared" si="3"/>
        <v>4381456.1499999994</v>
      </c>
      <c r="L33" s="58">
        <f t="shared" si="3"/>
        <v>5307543.0600000005</v>
      </c>
      <c r="M33" s="59">
        <f t="shared" si="3"/>
        <v>3737891.0799999991</v>
      </c>
      <c r="N33" s="83">
        <f>SUM(N4:N32)</f>
        <v>53022319.339999989</v>
      </c>
      <c r="O33" s="96">
        <f>SUM(O4:O32)</f>
        <v>49770322.340000004</v>
      </c>
      <c r="P33" s="86">
        <f t="shared" si="0"/>
        <v>6.5340083148032635E-2</v>
      </c>
      <c r="Q33" s="64">
        <f t="shared" si="2"/>
        <v>1</v>
      </c>
    </row>
    <row r="34" spans="1:17">
      <c r="B34" s="28">
        <f>B33/'TOTAL 2003'!B33-1</f>
        <v>3.0016886530414455E-2</v>
      </c>
      <c r="C34" s="28">
        <f>C33/'TOTAL 2003'!C33-1</f>
        <v>-1.124935286070694E-2</v>
      </c>
      <c r="D34" s="28">
        <f>D33/'TOTAL 2003'!D33-1</f>
        <v>1.149003653588121E-2</v>
      </c>
      <c r="E34" s="28">
        <f>E33/'TOTAL 2003'!E33-1</f>
        <v>0.19993890622505917</v>
      </c>
      <c r="F34" s="28">
        <f>F33/'TOTAL 2003'!F33-1</f>
        <v>-6.9495982119978983E-2</v>
      </c>
      <c r="G34" s="28">
        <f>G33/'TOTAL 2003'!G33-1</f>
        <v>0.38671043079705436</v>
      </c>
      <c r="H34" s="28">
        <f>H33/'TOTAL 2003'!H33-1</f>
        <v>0.10627517020130473</v>
      </c>
      <c r="I34" s="28">
        <f>I33/'TOTAL 2003'!I33-1</f>
        <v>7.4389820836026743E-2</v>
      </c>
      <c r="J34" s="28">
        <f>J33/'TOTAL 2003'!J33-1</f>
        <v>0.15633692800336063</v>
      </c>
      <c r="K34" s="28">
        <f>K33/'TOTAL 2003'!K33-1</f>
        <v>7.0288748131461354E-2</v>
      </c>
      <c r="L34" s="28">
        <f>L33/'TOTAL 2003'!L33-1</f>
        <v>2.5811290027469846E-2</v>
      </c>
      <c r="M34" s="28">
        <f>M33/'TOTAL 2003'!M33-1</f>
        <v>-2.6562279990284599E-2</v>
      </c>
      <c r="N34" s="28">
        <f>N33/'TOTAL 2003'!N33-1</f>
        <v>6.5340083148032635E-2</v>
      </c>
    </row>
  </sheetData>
  <mergeCells count="1">
    <mergeCell ref="A1:Q1"/>
  </mergeCells>
  <phoneticPr fontId="0" type="noConversion"/>
  <pageMargins left="0.75" right="0.75" top="1" bottom="1" header="0.5" footer="0.5"/>
  <pageSetup scale="78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theme="1"/>
    <pageSetUpPr fitToPage="1"/>
  </sheetPr>
  <dimension ref="A1:Q37"/>
  <sheetViews>
    <sheetView workbookViewId="0">
      <selection activeCell="P43" sqref="P43"/>
    </sheetView>
  </sheetViews>
  <sheetFormatPr baseColWidth="10" defaultColWidth="8.83203125" defaultRowHeight="12" x14ac:dyDescent="0"/>
  <cols>
    <col min="1" max="1" width="11.33203125" bestFit="1" customWidth="1"/>
    <col min="5" max="13" width="8.6640625" customWidth="1"/>
    <col min="14" max="15" width="9.5" bestFit="1" customWidth="1"/>
    <col min="16" max="16" width="10.1640625" bestFit="1" customWidth="1"/>
  </cols>
  <sheetData>
    <row r="1" spans="1:17" ht="21">
      <c r="A1" s="691" t="s">
        <v>57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</row>
    <row r="2" spans="1:17" ht="13" thickBot="1">
      <c r="A2" s="47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3" thickBot="1">
      <c r="A3" s="5" t="s">
        <v>42</v>
      </c>
      <c r="B3" s="67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8" t="s">
        <v>13</v>
      </c>
      <c r="N3" s="52" t="s">
        <v>47</v>
      </c>
      <c r="O3" s="87" t="s">
        <v>14</v>
      </c>
      <c r="P3" s="72" t="s">
        <v>16</v>
      </c>
      <c r="Q3" s="18" t="s">
        <v>58</v>
      </c>
    </row>
    <row r="4" spans="1:17">
      <c r="A4" s="49" t="s">
        <v>17</v>
      </c>
      <c r="B4" s="68">
        <f>SUM('R 2003'!B4+'TRT 2003'!B4)</f>
        <v>5692.73</v>
      </c>
      <c r="C4" s="68">
        <f>SUM('R 2003'!C4+'TRT 2003'!C4)</f>
        <v>29580.86</v>
      </c>
      <c r="D4" s="68">
        <f>SUM('R 2003'!D4+'TRT 2003'!D4)</f>
        <v>2629.25</v>
      </c>
      <c r="E4" s="68">
        <f>SUM('R 2003'!E4+'TRT 2003'!E4)</f>
        <v>2085.88</v>
      </c>
      <c r="F4" s="68">
        <f>SUM('R 2003'!F4+'TRT 2003'!F4)</f>
        <v>21211.57</v>
      </c>
      <c r="G4" s="68">
        <f>SUM('R 2003'!G4+'TRT 2003'!G4)</f>
        <v>2324.62</v>
      </c>
      <c r="H4" s="68">
        <f>SUM('R 2003'!H4+'TRT 2003'!H4)</f>
        <v>1710.92</v>
      </c>
      <c r="I4" s="68">
        <f>SUM('R 2003'!I4+'TRT 2003'!I4)</f>
        <v>34886.43</v>
      </c>
      <c r="J4" s="68">
        <f>SUM('R 2003'!J4+'TRT 2003'!J4)</f>
        <v>4533.1499999999996</v>
      </c>
      <c r="K4" s="68">
        <f>SUM('R 2003'!K4+'TRT 2003'!K4)</f>
        <v>8062</v>
      </c>
      <c r="L4" s="68">
        <f>SUM('R 2003'!L4+'TRT 2003'!L4)</f>
        <v>36883</v>
      </c>
      <c r="M4" s="68">
        <f>SUM('R 2003'!M4+'TRT 2003'!M4)</f>
        <v>4676.6099999999997</v>
      </c>
      <c r="N4" s="81">
        <f>SUM(B4:M4)</f>
        <v>154277.01999999996</v>
      </c>
      <c r="O4" s="88">
        <v>162198</v>
      </c>
      <c r="P4" s="84">
        <f t="shared" ref="P4:P33" si="0">N4/O4-1</f>
        <v>-4.8835250742919389E-2</v>
      </c>
      <c r="Q4" s="22">
        <f>N4/$N$33</f>
        <v>3.0997794015894644E-3</v>
      </c>
    </row>
    <row r="5" spans="1:17">
      <c r="A5" s="49" t="s">
        <v>18</v>
      </c>
      <c r="B5" s="69">
        <f>'R 2003'!B5+'TRT 2003'!B5</f>
        <v>17331.14</v>
      </c>
      <c r="C5" s="69">
        <f>'R 2003'!C5+'TRT 2003'!C5</f>
        <v>44635.35</v>
      </c>
      <c r="D5" s="69">
        <f>'R 2003'!D5+'TRT 2003'!D5</f>
        <v>15146.29</v>
      </c>
      <c r="E5" s="69">
        <f>'R 2003'!E5+'TRT 2003'!E5</f>
        <v>15223.65</v>
      </c>
      <c r="F5" s="69">
        <f>'R 2003'!F5+'TRT 2003'!F5</f>
        <v>45403.82</v>
      </c>
      <c r="G5" s="69">
        <f>'R 2003'!G5+'TRT 2003'!G5</f>
        <v>20192.560000000001</v>
      </c>
      <c r="H5" s="69">
        <f>'R 2003'!H5+'TRT 2003'!H5</f>
        <v>21357.3</v>
      </c>
      <c r="I5" s="69">
        <f>'R 2003'!I5+'TRT 2003'!I5</f>
        <v>58340.03</v>
      </c>
      <c r="J5" s="69">
        <f>'R 2003'!J5+'TRT 2003'!J5</f>
        <v>26771.06</v>
      </c>
      <c r="K5" s="69">
        <f>'R 2003'!K5+'TRT 2003'!K5</f>
        <v>22997</v>
      </c>
      <c r="L5" s="69">
        <f>'R 2003'!L5+'TRT 2003'!L5</f>
        <v>53219</v>
      </c>
      <c r="M5" s="69">
        <f>'R 2003'!M5+'TRT 2003'!M5</f>
        <v>32625.33</v>
      </c>
      <c r="N5" s="81">
        <f t="shared" ref="N5:N32" si="1">SUM(B5:M5)</f>
        <v>373242.53</v>
      </c>
      <c r="O5" s="19">
        <v>364780</v>
      </c>
      <c r="P5" s="84">
        <f t="shared" si="0"/>
        <v>2.3198996655518389E-2</v>
      </c>
      <c r="Q5" s="22">
        <f t="shared" ref="Q5:Q33" si="2">N5/$N$33</f>
        <v>7.4992990290526614E-3</v>
      </c>
    </row>
    <row r="6" spans="1:17">
      <c r="A6" s="49" t="s">
        <v>19</v>
      </c>
      <c r="B6" s="69">
        <f>SUM('R 2003'!B6+'TRT 2003'!B6)</f>
        <v>49158.74</v>
      </c>
      <c r="C6" s="69">
        <f>SUM('R 2003'!C6+'TRT 2003'!C6)</f>
        <v>93485.069999999992</v>
      </c>
      <c r="D6" s="69">
        <f>SUM('R 2003'!D6+'TRT 2003'!D6)</f>
        <v>48634.58</v>
      </c>
      <c r="E6" s="69">
        <f>SUM('R 2003'!E6+'TRT 2003'!E6)</f>
        <v>47241.81</v>
      </c>
      <c r="F6" s="69">
        <f>SUM('R 2003'!F6+'TRT 2003'!F6)</f>
        <v>96893</v>
      </c>
      <c r="G6" s="69">
        <f>SUM('R 2003'!G6+'TRT 2003'!G6)</f>
        <v>61918.579999999994</v>
      </c>
      <c r="H6" s="69">
        <f>SUM('R 2003'!H6+'TRT 2003'!H6)</f>
        <v>57428.52</v>
      </c>
      <c r="I6" s="69">
        <f>SUM('R 2003'!I6+'TRT 2003'!I6)</f>
        <v>117884.01</v>
      </c>
      <c r="J6" s="69">
        <f>SUM('R 2003'!J6+'TRT 2003'!J6)</f>
        <v>63979.1</v>
      </c>
      <c r="K6" s="69">
        <f>SUM('R 2003'!K6+'TRT 2003'!K6)</f>
        <v>62474</v>
      </c>
      <c r="L6" s="69">
        <f>SUM('R 2003'!L6+'TRT 2003'!L6)</f>
        <v>113791</v>
      </c>
      <c r="M6" s="69">
        <f>SUM('R 2003'!M6+'TRT 2003'!M6)</f>
        <v>57216.770000000004</v>
      </c>
      <c r="N6" s="81">
        <f t="shared" si="1"/>
        <v>870105.18</v>
      </c>
      <c r="O6" s="19">
        <v>884244</v>
      </c>
      <c r="P6" s="84">
        <f t="shared" si="0"/>
        <v>-1.5989726817484673E-2</v>
      </c>
      <c r="Q6" s="22">
        <f t="shared" si="2"/>
        <v>1.7482409980308759E-2</v>
      </c>
    </row>
    <row r="7" spans="1:17">
      <c r="A7" s="49" t="s">
        <v>20</v>
      </c>
      <c r="B7" s="69">
        <f>SUM('R 2003'!B7+'TRT 2003'!B7)</f>
        <v>17369.45</v>
      </c>
      <c r="C7" s="69">
        <f>SUM('R 2003'!C7+'TRT 2003'!C7)</f>
        <v>36186.759999999995</v>
      </c>
      <c r="D7" s="69">
        <f>SUM('R 2003'!D7+'TRT 2003'!D7)</f>
        <v>14053.390000000001</v>
      </c>
      <c r="E7" s="69">
        <f>SUM('R 2003'!E7+'TRT 2003'!E7)</f>
        <v>14263.400000000001</v>
      </c>
      <c r="F7" s="69">
        <f>SUM('R 2003'!F7+'TRT 2003'!F7)</f>
        <v>32097.239999999998</v>
      </c>
      <c r="G7" s="69">
        <f>SUM('R 2003'!G7+'TRT 2003'!G7)</f>
        <v>15232.17</v>
      </c>
      <c r="H7" s="69">
        <f>SUM('R 2003'!H7+'TRT 2003'!H7)</f>
        <v>22377.32</v>
      </c>
      <c r="I7" s="69">
        <f>SUM('R 2003'!I7+'TRT 2003'!I7)</f>
        <v>42622.78</v>
      </c>
      <c r="J7" s="69">
        <f>SUM('R 2003'!J7+'TRT 2003'!J7)</f>
        <v>21819.54</v>
      </c>
      <c r="K7" s="69">
        <f>SUM('R 2003'!K7+'TRT 2003'!K7)</f>
        <v>26646</v>
      </c>
      <c r="L7" s="69">
        <f>SUM('R 2003'!L7+'TRT 2003'!L7)</f>
        <v>47627</v>
      </c>
      <c r="M7" s="69">
        <f>SUM('R 2003'!M7+'TRT 2003'!M7)</f>
        <v>21315.69</v>
      </c>
      <c r="N7" s="81">
        <f t="shared" si="1"/>
        <v>311610.74</v>
      </c>
      <c r="O7" s="19">
        <v>324679</v>
      </c>
      <c r="P7" s="84">
        <f t="shared" si="0"/>
        <v>-4.0249785172431829E-2</v>
      </c>
      <c r="Q7" s="22">
        <f t="shared" si="2"/>
        <v>6.2609749213852484E-3</v>
      </c>
    </row>
    <row r="8" spans="1:17">
      <c r="A8" s="49" t="s">
        <v>21</v>
      </c>
      <c r="B8" s="69">
        <f>SUM('R 2003'!B8+'TRT 2003'!B8)</f>
        <v>536.67999999999995</v>
      </c>
      <c r="C8" s="69">
        <f>SUM('R 2003'!C8+'TRT 2003'!C8)</f>
        <v>2902.81</v>
      </c>
      <c r="D8" s="69">
        <f>SUM('R 2003'!D8+'TRT 2003'!D8)</f>
        <v>823.81999999999994</v>
      </c>
      <c r="E8" s="69">
        <f>SUM('R 2003'!E8+'TRT 2003'!E8)</f>
        <v>0</v>
      </c>
      <c r="F8" s="69">
        <f>SUM('R 2003'!F8+'TRT 2003'!F8)</f>
        <v>8528.619999999999</v>
      </c>
      <c r="G8" s="69">
        <f>SUM('R 2003'!G8+'TRT 2003'!G8)</f>
        <v>3926.67</v>
      </c>
      <c r="H8" s="69">
        <f>SUM('R 2003'!H8+'TRT 2003'!H8)</f>
        <v>4232.8899999999994</v>
      </c>
      <c r="I8" s="69">
        <f>SUM('R 2003'!I8+'TRT 2003'!I8)</f>
        <v>14304</v>
      </c>
      <c r="J8" s="69">
        <f>SUM('R 2003'!J8+'TRT 2003'!J8)</f>
        <v>7109.34</v>
      </c>
      <c r="K8" s="69">
        <f>SUM('R 2003'!K8+'TRT 2003'!K8)</f>
        <v>6238</v>
      </c>
      <c r="L8" s="69">
        <f>SUM('R 2003'!L8+'TRT 2003'!L8)</f>
        <v>16316</v>
      </c>
      <c r="M8" s="69">
        <f>SUM('R 2003'!M8+'TRT 2003'!M8)</f>
        <v>616</v>
      </c>
      <c r="N8" s="81">
        <f t="shared" si="1"/>
        <v>65534.83</v>
      </c>
      <c r="O8" s="19">
        <v>75826</v>
      </c>
      <c r="P8" s="84">
        <f t="shared" si="0"/>
        <v>-0.13572086091841851</v>
      </c>
      <c r="Q8" s="22">
        <f t="shared" si="2"/>
        <v>1.316745138846131E-3</v>
      </c>
    </row>
    <row r="9" spans="1:17">
      <c r="A9" s="49" t="s">
        <v>22</v>
      </c>
      <c r="B9" s="69">
        <f>SUM('R 2003'!B9+'CR 2003'!C4+'TRT 2003'!B9)</f>
        <v>166032.01999999999</v>
      </c>
      <c r="C9" s="69">
        <f>SUM('R 2003'!C9+'CR 2003'!D4+'TRT 2003'!C9)</f>
        <v>248501.51</v>
      </c>
      <c r="D9" s="69">
        <f>SUM('R 2003'!D9+'CR 2003'!E4+'TRT 2003'!D9)</f>
        <v>169176.91000000003</v>
      </c>
      <c r="E9" s="69">
        <f>SUM('R 2003'!E9+'CR 2003'!F4+'TRT 2003'!E9)</f>
        <v>173322.13</v>
      </c>
      <c r="F9" s="69">
        <f>SUM('R 2003'!F9+'CR 2003'!G4+'TRT 2003'!F9)</f>
        <v>280011.07</v>
      </c>
      <c r="G9" s="69">
        <f>SUM('R 2003'!G9+'CR 2003'!H4+'TRT 2003'!G9)</f>
        <v>182656.97</v>
      </c>
      <c r="H9" s="69">
        <f>SUM('R 2003'!H9+'CR 2003'!I4+'TRT 2003'!H9)</f>
        <v>189301.90999999997</v>
      </c>
      <c r="I9" s="69">
        <f>SUM('R 2003'!I9+'CR 2003'!J4+'TRT 2003'!I9)</f>
        <v>320730.69</v>
      </c>
      <c r="J9" s="69">
        <f>SUM('R 2003'!J9+'CR 2003'!K4+'TRT 2003'!J9)</f>
        <v>227590.51</v>
      </c>
      <c r="K9" s="69">
        <f>SUM('R 2003'!K9+'CR 2003'!L4+'TRT 2003'!K9)</f>
        <v>256386.74</v>
      </c>
      <c r="L9" s="69">
        <f>SUM('R 2003'!L9+'CR 2003'!M4+'TRT 2003'!L9)</f>
        <v>267737.73</v>
      </c>
      <c r="M9" s="69">
        <f>SUM('R 2003'!M9+'CR 2003'!N4+'TRT 2003'!M9)</f>
        <v>214186.68</v>
      </c>
      <c r="N9" s="81">
        <f t="shared" si="1"/>
        <v>2695634.87</v>
      </c>
      <c r="O9" s="19">
        <v>2668969</v>
      </c>
      <c r="P9" s="84">
        <f t="shared" si="0"/>
        <v>9.9910752054446217E-3</v>
      </c>
      <c r="Q9" s="22">
        <f t="shared" si="2"/>
        <v>5.4161491090716531E-2</v>
      </c>
    </row>
    <row r="10" spans="1:17">
      <c r="A10" s="49" t="s">
        <v>23</v>
      </c>
      <c r="B10" s="69">
        <f>SUM('R 2003'!B10+'TRT 2003'!B10+'CR 2003'!C5)</f>
        <v>4437.08</v>
      </c>
      <c r="C10" s="69">
        <f>SUM('R 2003'!C10+'TRT 2003'!C10+'CR 2003'!D5)</f>
        <v>11469.28</v>
      </c>
      <c r="D10" s="69">
        <f>SUM('R 2003'!D10+'TRT 2003'!D10+'CR 2003'!E5)</f>
        <v>3154.19</v>
      </c>
      <c r="E10" s="69">
        <f>SUM('R 2003'!E10+'TRT 2003'!E10+'CR 2003'!F5)</f>
        <v>4336.21</v>
      </c>
      <c r="F10" s="69">
        <f>SUM('R 2003'!F10+'TRT 2003'!F10+'CR 2003'!G5)</f>
        <v>11539.92</v>
      </c>
      <c r="G10" s="69">
        <f>SUM('R 2003'!G10+'TRT 2003'!G10+'CR 2003'!H5)</f>
        <v>3604.95</v>
      </c>
      <c r="H10" s="69">
        <f>SUM('R 2003'!H10+'TRT 2003'!H10+'CR 2003'!I5)</f>
        <v>5990.2800000000007</v>
      </c>
      <c r="I10" s="69">
        <f>SUM('R 2003'!I10+'TRT 2003'!I10+'CR 2003'!J5)</f>
        <v>15751.82</v>
      </c>
      <c r="J10" s="69">
        <f>SUM('R 2003'!J10+'TRT 2003'!J10+'CR 2003'!K5)</f>
        <v>6386.23</v>
      </c>
      <c r="K10" s="69">
        <f>SUM('R 2003'!K10+'TRT 2003'!K10+'CR 2003'!L5)</f>
        <v>7186.19</v>
      </c>
      <c r="L10" s="69">
        <f>SUM('R 2003'!L10+'TRT 2003'!L10+'CR 2003'!M5)</f>
        <v>19699.2</v>
      </c>
      <c r="M10" s="69">
        <f>SUM('R 2003'!M10+'TRT 2003'!M10+'CR 2003'!N5)</f>
        <v>5944.38</v>
      </c>
      <c r="N10" s="81">
        <f t="shared" si="1"/>
        <v>99499.73</v>
      </c>
      <c r="O10" s="19">
        <v>98099</v>
      </c>
      <c r="P10" s="84">
        <f t="shared" si="0"/>
        <v>1.4278738825064474E-2</v>
      </c>
      <c r="Q10" s="22">
        <f t="shared" si="2"/>
        <v>1.9991779301785409E-3</v>
      </c>
    </row>
    <row r="11" spans="1:17">
      <c r="A11" s="49" t="s">
        <v>51</v>
      </c>
      <c r="B11" s="69">
        <f>'TRT 2003'!B11</f>
        <v>0</v>
      </c>
      <c r="C11" s="69">
        <f>'TRT 2003'!C11</f>
        <v>610.09</v>
      </c>
      <c r="D11" s="69">
        <f>'TRT 2003'!D11</f>
        <v>151.99</v>
      </c>
      <c r="E11" s="69">
        <f>'TRT 2003'!E11</f>
        <v>746.69</v>
      </c>
      <c r="F11" s="69">
        <f>'TRT 2003'!F11</f>
        <v>3499.53</v>
      </c>
      <c r="G11" s="69">
        <f>'TRT 2003'!G11</f>
        <v>9318.9599999999991</v>
      </c>
      <c r="H11" s="69">
        <f>'TRT 2003'!H11</f>
        <v>14175.74</v>
      </c>
      <c r="I11" s="69">
        <f>'TRT 2003'!I11</f>
        <v>31175</v>
      </c>
      <c r="J11" s="69">
        <f>'TRT 2003'!J11</f>
        <v>15942</v>
      </c>
      <c r="K11" s="69">
        <f>'TRT 2003'!K11</f>
        <v>8449</v>
      </c>
      <c r="L11" s="69">
        <f>'TRT 2003'!L11</f>
        <v>24824</v>
      </c>
      <c r="M11" s="69">
        <f>'TRT 2003'!M11</f>
        <v>9972.67</v>
      </c>
      <c r="N11" s="81">
        <f t="shared" si="1"/>
        <v>118865.67</v>
      </c>
      <c r="O11" s="19">
        <v>23026</v>
      </c>
      <c r="P11" s="84">
        <f t="shared" si="0"/>
        <v>4.1622370363936421</v>
      </c>
      <c r="Q11" s="22">
        <f t="shared" si="2"/>
        <v>2.3882841101165349E-3</v>
      </c>
    </row>
    <row r="12" spans="1:17">
      <c r="A12" s="49" t="s">
        <v>24</v>
      </c>
      <c r="B12" s="69">
        <f>SUM('R 2003'!B11+'TRT 2003'!B12)</f>
        <v>14523.810000000001</v>
      </c>
      <c r="C12" s="69">
        <f>SUM('R 2003'!C11+'TRT 2003'!C12)</f>
        <v>21868.260000000002</v>
      </c>
      <c r="D12" s="69">
        <f>SUM('R 2003'!D11+'TRT 2003'!D12)</f>
        <v>3837.53</v>
      </c>
      <c r="E12" s="69">
        <f>SUM('R 2003'!E11+'TRT 2003'!E12)</f>
        <v>4825.42</v>
      </c>
      <c r="F12" s="69">
        <f>SUM('R 2003'!F11+'TRT 2003'!F12)</f>
        <v>28707.32</v>
      </c>
      <c r="G12" s="69">
        <f>SUM('R 2003'!G11+'TRT 2003'!G12)</f>
        <v>23761.93</v>
      </c>
      <c r="H12" s="69">
        <f>SUM('R 2003'!H11+'TRT 2003'!H12)</f>
        <v>51522.29</v>
      </c>
      <c r="I12" s="69">
        <f>SUM('R 2003'!I11+'TRT 2003'!I12)</f>
        <v>128777.60000000001</v>
      </c>
      <c r="J12" s="69">
        <f>SUM('R 2003'!J11+'TRT 2003'!J12)</f>
        <v>59056.71</v>
      </c>
      <c r="K12" s="69">
        <f>SUM('R 2003'!K11+'TRT 2003'!K12)</f>
        <v>66216</v>
      </c>
      <c r="L12" s="69">
        <f>SUM('R 2003'!L11+'TRT 2003'!L12)</f>
        <v>115381</v>
      </c>
      <c r="M12" s="69">
        <f>SUM('R 2003'!M11+'TRT 2003'!M12)</f>
        <v>48420.14</v>
      </c>
      <c r="N12" s="81">
        <f t="shared" si="1"/>
        <v>566898.01</v>
      </c>
      <c r="O12" s="19">
        <v>544202</v>
      </c>
      <c r="P12" s="84">
        <f t="shared" si="0"/>
        <v>4.1705120525099115E-2</v>
      </c>
      <c r="Q12" s="22">
        <f t="shared" si="2"/>
        <v>1.1390282066636098E-2</v>
      </c>
    </row>
    <row r="13" spans="1:17">
      <c r="A13" s="49" t="s">
        <v>59</v>
      </c>
      <c r="B13" s="69">
        <f>SUM('R 2003'!B12+'CR 2003'!C6+'TRT 2003'!B13)</f>
        <v>6260.61</v>
      </c>
      <c r="C13" s="69">
        <f>SUM('R 2003'!C12+'CR 2003'!D6+'TRT 2003'!C13)</f>
        <v>22701.440000000002</v>
      </c>
      <c r="D13" s="69">
        <f>SUM('R 2003'!D12+'CR 2003'!E6+'TRT 2003'!D13)</f>
        <v>7133.2</v>
      </c>
      <c r="E13" s="69">
        <f>SUM('R 2003'!E12+'CR 2003'!F6+'TRT 2003'!E13)</f>
        <v>5440.48</v>
      </c>
      <c r="F13" s="69">
        <f>SUM('R 2003'!F12+'CR 2003'!G6+'TRT 2003'!F13)</f>
        <v>30166.1</v>
      </c>
      <c r="G13" s="69">
        <f>SUM('R 2003'!G12+'CR 2003'!H6+'TRT 2003'!G13)</f>
        <v>17541.859999999997</v>
      </c>
      <c r="H13" s="69">
        <f>SUM('R 2003'!H12+'CR 2003'!I6+'TRT 2003'!H13)</f>
        <v>14006.22</v>
      </c>
      <c r="I13" s="69">
        <f>SUM('R 2003'!I12+'CR 2003'!J6+'TRT 2003'!I13)</f>
        <v>45277</v>
      </c>
      <c r="J13" s="69">
        <f>SUM('R 2003'!J12+'CR 2003'!K6+'TRT 2003'!J13)</f>
        <v>14893</v>
      </c>
      <c r="K13" s="69">
        <f>SUM('R 2003'!K12+'CR 2003'!L6+'TRT 2003'!K13)</f>
        <v>13387</v>
      </c>
      <c r="L13" s="69">
        <f>SUM('R 2003'!L12+'CR 2003'!M6+'TRT 2003'!L13)</f>
        <v>39001.339999999997</v>
      </c>
      <c r="M13" s="69">
        <f>SUM('R 2003'!M12+'CR 2003'!N6+'TRT 2003'!M13)</f>
        <v>18907.41</v>
      </c>
      <c r="N13" s="81">
        <f t="shared" si="1"/>
        <v>234715.65999999997</v>
      </c>
      <c r="O13" s="19">
        <v>1091333</v>
      </c>
      <c r="P13" s="84">
        <f t="shared" si="0"/>
        <v>-0.78492755190212338</v>
      </c>
      <c r="Q13" s="22">
        <f t="shared" si="2"/>
        <v>4.715976287968722E-3</v>
      </c>
    </row>
    <row r="14" spans="1:17">
      <c r="A14" s="49" t="s">
        <v>26</v>
      </c>
      <c r="B14" s="69">
        <f>SUM('R 2003'!B13+'TRT 2003'!B14)</f>
        <v>49940.229999999996</v>
      </c>
      <c r="C14" s="69">
        <f>SUM('R 2003'!C13+'TRT 2003'!C14)</f>
        <v>84488.72</v>
      </c>
      <c r="D14" s="69">
        <f>SUM('R 2003'!D13+'TRT 2003'!D14)</f>
        <v>36336.61</v>
      </c>
      <c r="E14" s="69">
        <f>SUM('R 2003'!E13+'TRT 2003'!E14)</f>
        <v>36369.210000000006</v>
      </c>
      <c r="F14" s="69">
        <f>SUM('R 2003'!F13+'TRT 2003'!F14)</f>
        <v>105115.5</v>
      </c>
      <c r="G14" s="69">
        <f>SUM('R 2003'!G13+'TRT 2003'!G14)</f>
        <v>33809.29</v>
      </c>
      <c r="H14" s="69">
        <f>SUM('R 2003'!H13+'TRT 2003'!H14)</f>
        <v>33396.51</v>
      </c>
      <c r="I14" s="69">
        <f>SUM('R 2003'!I13+'TRT 2003'!I14)</f>
        <v>104724.45</v>
      </c>
      <c r="J14" s="69">
        <f>SUM('R 2003'!J13+'TRT 2003'!J14)</f>
        <v>68076.959999999992</v>
      </c>
      <c r="K14" s="69">
        <f>SUM('R 2003'!K13+'TRT 2003'!K14)</f>
        <v>54674</v>
      </c>
      <c r="L14" s="69">
        <f>SUM('R 2003'!L13+'TRT 2003'!L14)</f>
        <v>118914</v>
      </c>
      <c r="M14" s="69">
        <f>SUM('R 2003'!M13+'TRT 2003'!M14)</f>
        <v>47921.95</v>
      </c>
      <c r="N14" s="81">
        <f t="shared" si="1"/>
        <v>773767.42999999993</v>
      </c>
      <c r="O14" s="19">
        <v>733687</v>
      </c>
      <c r="P14" s="84">
        <f t="shared" si="0"/>
        <v>5.4628785844644812E-2</v>
      </c>
      <c r="Q14" s="22">
        <f t="shared" si="2"/>
        <v>1.5546763485156883E-2</v>
      </c>
    </row>
    <row r="15" spans="1:17">
      <c r="A15" s="49" t="s">
        <v>27</v>
      </c>
      <c r="B15" s="69">
        <f>SUM('R 2003'!B14+'TRT 2003'!B15)</f>
        <v>3.22</v>
      </c>
      <c r="C15" s="69">
        <f>SUM('R 2003'!C14+'TRT 2003'!C15)</f>
        <v>18549.61</v>
      </c>
      <c r="D15" s="69">
        <f>SUM('R 2003'!D14+'TRT 2003'!D15)</f>
        <v>4451.34</v>
      </c>
      <c r="E15" s="69">
        <f>SUM('R 2003'!E14+'TRT 2003'!E15)</f>
        <v>3315.45</v>
      </c>
      <c r="F15" s="69">
        <f>SUM('R 2003'!F14+'TRT 2003'!F15)</f>
        <v>14800.529999999999</v>
      </c>
      <c r="G15" s="69">
        <f>SUM('R 2003'!G14+'TRT 2003'!G15)</f>
        <v>8126.7999999999993</v>
      </c>
      <c r="H15" s="69">
        <f>SUM('R 2003'!H14+'TRT 2003'!H15)</f>
        <v>4784.96</v>
      </c>
      <c r="I15" s="69">
        <f>SUM('R 2003'!I14+'TRT 2003'!I15)</f>
        <v>25341.57</v>
      </c>
      <c r="J15" s="69">
        <f>SUM('R 2003'!J14+'TRT 2003'!J15)</f>
        <v>5539.84</v>
      </c>
      <c r="K15" s="69">
        <f>SUM('R 2003'!K14+'TRT 2003'!K15)</f>
        <v>5663</v>
      </c>
      <c r="L15" s="69">
        <f>SUM('R 2003'!L14+'TRT 2003'!L15)</f>
        <v>28731</v>
      </c>
      <c r="M15" s="69">
        <f>SUM('R 2003'!M14+'TRT 2003'!M15)</f>
        <v>4954.12</v>
      </c>
      <c r="N15" s="81">
        <f t="shared" si="1"/>
        <v>124261.43999999999</v>
      </c>
      <c r="O15" s="19">
        <v>154415</v>
      </c>
      <c r="P15" s="84">
        <f t="shared" si="0"/>
        <v>-0.19527610659586192</v>
      </c>
      <c r="Q15" s="22">
        <f t="shared" si="2"/>
        <v>2.4966975128495818E-3</v>
      </c>
    </row>
    <row r="16" spans="1:17">
      <c r="A16" s="49" t="s">
        <v>28</v>
      </c>
      <c r="B16" s="69">
        <f>SUM('R 2003'!B15+'TRT 2003'!B16)</f>
        <v>14088.060000000001</v>
      </c>
      <c r="C16" s="69">
        <f>SUM('R 2003'!C15+'TRT 2003'!C16)</f>
        <v>17328.66</v>
      </c>
      <c r="D16" s="69">
        <f>SUM('R 2003'!D15+'TRT 2003'!D16)</f>
        <v>5018.6900000000005</v>
      </c>
      <c r="E16" s="69">
        <f>SUM('R 2003'!E15+'TRT 2003'!E16)</f>
        <v>7541.75</v>
      </c>
      <c r="F16" s="69">
        <f>SUM('R 2003'!F15+'TRT 2003'!F16)</f>
        <v>22478.68</v>
      </c>
      <c r="G16" s="69">
        <f>SUM('R 2003'!G15+'TRT 2003'!G16)</f>
        <v>18653.760000000002</v>
      </c>
      <c r="H16" s="69">
        <f>SUM('R 2003'!H15+'TRT 2003'!H16)</f>
        <v>30043.670000000002</v>
      </c>
      <c r="I16" s="69">
        <f>SUM('R 2003'!I15+'TRT 2003'!I16)</f>
        <v>62558.9</v>
      </c>
      <c r="J16" s="69">
        <f>SUM('R 2003'!J15+'TRT 2003'!J16)</f>
        <v>32462.57</v>
      </c>
      <c r="K16" s="69">
        <f>SUM('R 2003'!K15+'TRT 2003'!K16)</f>
        <v>37718</v>
      </c>
      <c r="L16" s="69">
        <f>SUM('R 2003'!L15+'TRT 2003'!L16)</f>
        <v>70573</v>
      </c>
      <c r="M16" s="69">
        <f>SUM('R 2003'!M15+'TRT 2003'!M16)</f>
        <v>22679.629999999997</v>
      </c>
      <c r="N16" s="81">
        <f t="shared" si="1"/>
        <v>341145.37</v>
      </c>
      <c r="O16" s="19">
        <v>332293</v>
      </c>
      <c r="P16" s="84">
        <f t="shared" si="0"/>
        <v>2.6640254233462723E-2</v>
      </c>
      <c r="Q16" s="22">
        <f t="shared" si="2"/>
        <v>6.8543934208323224E-3</v>
      </c>
    </row>
    <row r="17" spans="1:17">
      <c r="A17" s="49" t="s">
        <v>52</v>
      </c>
      <c r="B17" s="69">
        <f>'TRT 2003'!B17</f>
        <v>1972.92</v>
      </c>
      <c r="C17" s="69">
        <f>'TRT 2003'!C17</f>
        <v>13728.32</v>
      </c>
      <c r="D17" s="69">
        <f>'TRT 2003'!D17</f>
        <v>1596.18</v>
      </c>
      <c r="E17" s="69">
        <f>'TRT 2003'!E17</f>
        <v>1404.01</v>
      </c>
      <c r="F17" s="69">
        <f>'TRT 2003'!F17</f>
        <v>12614.49</v>
      </c>
      <c r="G17" s="69">
        <f>'TRT 2003'!G17</f>
        <v>1941.81</v>
      </c>
      <c r="H17" s="69">
        <f>'TRT 2003'!H17</f>
        <v>2744.01</v>
      </c>
      <c r="I17" s="69">
        <f>'TRT 2003'!I17</f>
        <v>17879</v>
      </c>
      <c r="J17" s="69">
        <f>'TRT 2003'!J17</f>
        <v>2525</v>
      </c>
      <c r="K17" s="69">
        <f>'TRT 2003'!K17</f>
        <v>2471</v>
      </c>
      <c r="L17" s="69">
        <f>'TRT 2003'!L17</f>
        <v>19589</v>
      </c>
      <c r="M17" s="69">
        <f>'TRT 2003'!M17</f>
        <v>2085.19</v>
      </c>
      <c r="N17" s="81">
        <f t="shared" si="1"/>
        <v>80550.929999999993</v>
      </c>
      <c r="O17" s="19">
        <v>82729</v>
      </c>
      <c r="P17" s="84">
        <f t="shared" si="0"/>
        <v>-2.6327768980647703E-2</v>
      </c>
      <c r="Q17" s="22">
        <f t="shared" si="2"/>
        <v>1.6184530501877393E-3</v>
      </c>
    </row>
    <row r="18" spans="1:17">
      <c r="A18" s="49" t="s">
        <v>29</v>
      </c>
      <c r="B18" s="69">
        <f>SUM('R 2003'!B16+'CR 2003'!C7+'TRT 2003'!B18)</f>
        <v>738.79</v>
      </c>
      <c r="C18" s="69">
        <f>SUM('R 2003'!C16+'CR 2003'!D7+'TRT 2003'!C18)</f>
        <v>3484.86</v>
      </c>
      <c r="D18" s="69">
        <f>SUM('R 2003'!D16+'CR 2003'!E7+'TRT 2003'!D18)</f>
        <v>2486.13</v>
      </c>
      <c r="E18" s="69">
        <f>SUM('R 2003'!E16+'CR 2003'!F7+'TRT 2003'!E18)</f>
        <v>971.21</v>
      </c>
      <c r="F18" s="69">
        <f>SUM('R 2003'!F16+'CR 2003'!G7+'TRT 2003'!F18)</f>
        <v>3828.71</v>
      </c>
      <c r="G18" s="69">
        <f>SUM('R 2003'!G16+'CR 2003'!H7+'TRT 2003'!G18)</f>
        <v>1394.04</v>
      </c>
      <c r="H18" s="69">
        <f>SUM('R 2003'!H16+'CR 2003'!I7+'TRT 2003'!H18)</f>
        <v>1446.8100000000002</v>
      </c>
      <c r="I18" s="69">
        <f>SUM('R 2003'!I16+'CR 2003'!J7+'TRT 2003'!I18)</f>
        <v>5335.8</v>
      </c>
      <c r="J18" s="69">
        <f>SUM('R 2003'!J16+'CR 2003'!K7+'TRT 2003'!J18)</f>
        <v>1395.2600000000002</v>
      </c>
      <c r="K18" s="69">
        <f>SUM('R 2003'!K16+'CR 2003'!L7+'TRT 2003'!K18)</f>
        <v>2451.0700000000002</v>
      </c>
      <c r="L18" s="69">
        <f>SUM('R 2003'!L16+'CR 2003'!M7+'TRT 2003'!L18)</f>
        <v>6117.38</v>
      </c>
      <c r="M18" s="69">
        <f>SUM('R 2003'!M16+'CR 2003'!N7+'TRT 2003'!M18)</f>
        <v>1463.39</v>
      </c>
      <c r="N18" s="81">
        <f t="shared" si="1"/>
        <v>31113.45</v>
      </c>
      <c r="O18" s="19">
        <v>27212</v>
      </c>
      <c r="P18" s="84">
        <f t="shared" si="0"/>
        <v>0.14337240923122163</v>
      </c>
      <c r="Q18" s="22">
        <f t="shared" si="2"/>
        <v>6.2514061668020131E-4</v>
      </c>
    </row>
    <row r="19" spans="1:17">
      <c r="A19" s="49" t="s">
        <v>53</v>
      </c>
      <c r="B19" s="69">
        <f>'TRT 2003'!B19</f>
        <v>20.78</v>
      </c>
      <c r="C19" s="69">
        <f>'TRT 2003'!C19</f>
        <v>796.13</v>
      </c>
      <c r="D19" s="69">
        <f>'TRT 2003'!D19</f>
        <v>0</v>
      </c>
      <c r="E19" s="69">
        <f>'TRT 2003'!E19</f>
        <v>412.53</v>
      </c>
      <c r="F19" s="69">
        <f>'TRT 2003'!F19</f>
        <v>243.23</v>
      </c>
      <c r="G19" s="69">
        <f>'TRT 2003'!G19</f>
        <v>72.34</v>
      </c>
      <c r="H19" s="69">
        <f>'TRT 2003'!H19</f>
        <v>375.61</v>
      </c>
      <c r="I19" s="69">
        <f>'TRT 2003'!I19</f>
        <v>2041</v>
      </c>
      <c r="J19" s="69">
        <f>'TRT 2003'!J19</f>
        <v>390</v>
      </c>
      <c r="K19" s="69">
        <f>'TRT 2003'!K19</f>
        <v>0</v>
      </c>
      <c r="L19" s="69">
        <f>'TRT 2003'!L19</f>
        <v>2390</v>
      </c>
      <c r="M19" s="69">
        <f>'TRT 2003'!M19</f>
        <v>201.49</v>
      </c>
      <c r="N19" s="81">
        <f t="shared" si="1"/>
        <v>6943.11</v>
      </c>
      <c r="O19" s="19">
        <v>6099</v>
      </c>
      <c r="P19" s="84">
        <f t="shared" si="0"/>
        <v>0.13840137727496304</v>
      </c>
      <c r="Q19" s="22">
        <f t="shared" si="2"/>
        <v>1.3950301451875224E-4</v>
      </c>
    </row>
    <row r="20" spans="1:17">
      <c r="A20" s="49" t="s">
        <v>30</v>
      </c>
      <c r="B20" s="69">
        <f>SUM('R 2003'!B17+'TRT 2003'!B20)</f>
        <v>359.36</v>
      </c>
      <c r="C20" s="69">
        <f>SUM('R 2003'!C17+'TRT 2003'!C20)</f>
        <v>1109.19</v>
      </c>
      <c r="D20" s="69">
        <f>SUM('R 2003'!D17+'TRT 2003'!D20)</f>
        <v>0</v>
      </c>
      <c r="E20" s="69">
        <f>SUM('R 2003'!E17+'TRT 2003'!E20)</f>
        <v>1291.8499999999999</v>
      </c>
      <c r="F20" s="69">
        <f>SUM('R 2003'!F17+'TRT 2003'!F20)</f>
        <v>2164.7799999999997</v>
      </c>
      <c r="G20" s="69">
        <f>SUM('R 2003'!G17+'TRT 2003'!G20)</f>
        <v>136.72999999999999</v>
      </c>
      <c r="H20" s="69">
        <f>SUM('R 2003'!H17+'TRT 2003'!H20)</f>
        <v>1179.24</v>
      </c>
      <c r="I20" s="69">
        <f>SUM('R 2003'!I17+'TRT 2003'!I20)</f>
        <v>12380.44</v>
      </c>
      <c r="J20" s="69">
        <f>SUM('R 2003'!J17+'TRT 2003'!J20)</f>
        <v>8703.11</v>
      </c>
      <c r="K20" s="69">
        <f>SUM('R 2003'!K17+'TRT 2003'!K20)</f>
        <v>7189</v>
      </c>
      <c r="L20" s="69">
        <f>SUM('R 2003'!L17+'TRT 2003'!L20)</f>
        <v>38313</v>
      </c>
      <c r="M20" s="69">
        <f>SUM('R 2003'!M17+'TRT 2003'!M20)</f>
        <v>7103.4599999999991</v>
      </c>
      <c r="N20" s="81">
        <f t="shared" si="1"/>
        <v>79930.16</v>
      </c>
      <c r="O20" s="19">
        <v>135390</v>
      </c>
      <c r="P20" s="84">
        <f t="shared" si="0"/>
        <v>-0.4096302533421966</v>
      </c>
      <c r="Q20" s="22">
        <f t="shared" si="2"/>
        <v>1.6059803562043797E-3</v>
      </c>
    </row>
    <row r="21" spans="1:17">
      <c r="A21" s="49" t="s">
        <v>31</v>
      </c>
      <c r="B21" s="69">
        <f>SUM('R 2003'!B18+'CR 2003'!C8+'TRT 2003'!B39+'TRT 2003'!B21)</f>
        <v>1665872.5099999998</v>
      </c>
      <c r="C21" s="69">
        <f>SUM('R 2003'!C18+'CR 2003'!D8+'TRT 2003'!C39+'TRT 2003'!C21)</f>
        <v>2430786.1800000002</v>
      </c>
      <c r="D21" s="69">
        <f>SUM('R 2003'!D18+'CR 2003'!E8+'TRT 2003'!D39+'TRT 2003'!D21)</f>
        <v>2317851.48</v>
      </c>
      <c r="E21" s="69">
        <f>SUM('R 2003'!E18+'CR 2003'!F8+'TRT 2003'!E39+'TRT 2003'!E21)</f>
        <v>2195073.2799999998</v>
      </c>
      <c r="F21" s="69">
        <f>SUM('R 2003'!F18+'CR 2003'!G8+'TRT 2003'!F39+'TRT 2003'!F21)</f>
        <v>3372266.74</v>
      </c>
      <c r="G21" s="69">
        <f>SUM('R 2003'!G18+'CR 2003'!H8+'TRT 2003'!G39+'TRT 2003'!G21)</f>
        <v>2027191.9899999998</v>
      </c>
      <c r="H21" s="69">
        <f>SUM('R 2003'!H18+'CR 2003'!I8+'TRT 2003'!H39+'TRT 2003'!H21)</f>
        <v>1929074.19</v>
      </c>
      <c r="I21" s="69">
        <f>SUM('R 2003'!I18+'CR 2003'!J8+'TRT 2003'!I39+'TRT 2003'!I21)</f>
        <v>2368456.9299999997</v>
      </c>
      <c r="J21" s="69">
        <f>SUM('R 2003'!J18+'CR 2003'!K8+'TRT 2003'!J39+'TRT 2003'!J21)</f>
        <v>2098483.16</v>
      </c>
      <c r="K21" s="69">
        <f>SUM('R 2003'!K18+'CR 2003'!L8+'TRT 2003'!K39+'TRT 2003'!K21)</f>
        <v>2490664.33</v>
      </c>
      <c r="L21" s="69">
        <f>SUM('R 2003'!L18+'CR 2003'!M8+'TRT 2003'!L39+'TRT 2003'!L21)</f>
        <v>2467902.14</v>
      </c>
      <c r="M21" s="69">
        <f>SUM('R 2003'!M18+'CR 2003'!N8+'TRT 2003'!M39+'TRT 2003'!M21)</f>
        <v>2344958.35</v>
      </c>
      <c r="N21" s="81">
        <f t="shared" si="1"/>
        <v>27708581.280000001</v>
      </c>
      <c r="O21" s="19">
        <v>29770915</v>
      </c>
      <c r="P21" s="84">
        <f t="shared" si="0"/>
        <v>-6.9273440873416137E-2</v>
      </c>
      <c r="Q21" s="22">
        <f t="shared" si="2"/>
        <v>0.55672898983277908</v>
      </c>
    </row>
    <row r="22" spans="1:17">
      <c r="A22" s="49" t="s">
        <v>45</v>
      </c>
      <c r="B22" s="69">
        <f>'R 2003'!B19+'TRT 2003'!B22</f>
        <v>4652.66</v>
      </c>
      <c r="C22" s="69">
        <f>'R 2003'!C19+'TRT 2003'!C22</f>
        <v>15785.71</v>
      </c>
      <c r="D22" s="69">
        <f>'R 2003'!D19+'TRT 2003'!D22</f>
        <v>1879.32</v>
      </c>
      <c r="E22" s="69">
        <f>'R 2003'!E19+'TRT 2003'!E22</f>
        <v>6289.68</v>
      </c>
      <c r="F22" s="69">
        <f>'R 2003'!F19+'TRT 2003'!F22</f>
        <v>22221.99</v>
      </c>
      <c r="G22" s="69">
        <f>'R 2003'!G19+'TRT 2003'!G22</f>
        <v>9439.09</v>
      </c>
      <c r="H22" s="69">
        <f>'R 2003'!H19+'TRT 2003'!H22</f>
        <v>15485.93</v>
      </c>
      <c r="I22" s="69">
        <f>'R 2003'!I19+'TRT 2003'!I22</f>
        <v>49771</v>
      </c>
      <c r="J22" s="69">
        <f>'R 2003'!J19+'TRT 2003'!J22</f>
        <v>22572</v>
      </c>
      <c r="K22" s="69">
        <f>'R 2003'!K19+'TRT 2003'!K22</f>
        <v>6871</v>
      </c>
      <c r="L22" s="69">
        <f>'R 2003'!L19+'TRT 2003'!L22</f>
        <v>50260</v>
      </c>
      <c r="M22" s="69">
        <f>'R 2003'!M19+'TRT 2003'!M22</f>
        <v>13591.56</v>
      </c>
      <c r="N22" s="81">
        <f t="shared" si="1"/>
        <v>218819.94</v>
      </c>
      <c r="O22" s="19">
        <v>221689</v>
      </c>
      <c r="P22" s="84">
        <f t="shared" si="0"/>
        <v>-1.294182390646359E-2</v>
      </c>
      <c r="Q22" s="22">
        <f t="shared" si="2"/>
        <v>4.3965947920762451E-3</v>
      </c>
    </row>
    <row r="23" spans="1:17">
      <c r="A23" s="49" t="s">
        <v>32</v>
      </c>
      <c r="B23" s="69">
        <f>SUM('R 2003'!B20+'TRT 2003'!B23)</f>
        <v>3811.7</v>
      </c>
      <c r="C23" s="69">
        <f>SUM('R 2003'!C20+'TRT 2003'!C23)</f>
        <v>19920.78</v>
      </c>
      <c r="D23" s="69">
        <f>SUM('R 2003'!D20+'TRT 2003'!D23)</f>
        <v>3578.29</v>
      </c>
      <c r="E23" s="69">
        <f>SUM('R 2003'!E20+'TRT 2003'!E23)</f>
        <v>2159.31</v>
      </c>
      <c r="F23" s="69">
        <f>SUM('R 2003'!F20+'TRT 2003'!F23)</f>
        <v>17000.95</v>
      </c>
      <c r="G23" s="69">
        <f>SUM('R 2003'!G20+'TRT 2003'!G23)</f>
        <v>3505.15</v>
      </c>
      <c r="H23" s="69">
        <f>SUM('R 2003'!H20+'TRT 2003'!H23)</f>
        <v>5592.14</v>
      </c>
      <c r="I23" s="69">
        <f>SUM('R 2003'!I20+'TRT 2003'!I23)</f>
        <v>22773.989999999998</v>
      </c>
      <c r="J23" s="69">
        <f>SUM('R 2003'!J20+'TRT 2003'!J23)</f>
        <v>3562.55</v>
      </c>
      <c r="K23" s="69">
        <f>SUM('R 2003'!K20+'TRT 2003'!K23)</f>
        <v>4851</v>
      </c>
      <c r="L23" s="69">
        <f>SUM('R 2003'!L20+'TRT 2003'!L23)</f>
        <v>20528</v>
      </c>
      <c r="M23" s="69">
        <f>SUM('R 2003'!M20+'TRT 2003'!M23)</f>
        <v>4534.76</v>
      </c>
      <c r="N23" s="81">
        <f t="shared" si="1"/>
        <v>111818.62</v>
      </c>
      <c r="O23" s="19">
        <v>127305</v>
      </c>
      <c r="P23" s="84">
        <f t="shared" si="0"/>
        <v>-0.12164785357998509</v>
      </c>
      <c r="Q23" s="22">
        <f t="shared" si="2"/>
        <v>2.2466927024527685E-3</v>
      </c>
    </row>
    <row r="24" spans="1:17">
      <c r="A24" s="49" t="s">
        <v>33</v>
      </c>
      <c r="B24" s="69">
        <f>SUM('R 2003'!B21+'CR 2003'!C9+'TRT 2003'!B24)</f>
        <v>12692.84</v>
      </c>
      <c r="C24" s="69">
        <f>SUM('R 2003'!C21+'CR 2003'!D9+'TRT 2003'!C24)</f>
        <v>46779.82</v>
      </c>
      <c r="D24" s="69">
        <f>SUM('R 2003'!D21+'CR 2003'!E9+'TRT 2003'!D24)</f>
        <v>10262.120000000001</v>
      </c>
      <c r="E24" s="69">
        <f>SUM('R 2003'!E21+'CR 2003'!F9+'TRT 2003'!E24)</f>
        <v>6815.36</v>
      </c>
      <c r="F24" s="69">
        <f>SUM('R 2003'!F21+'CR 2003'!G9+'TRT 2003'!F24)</f>
        <v>47645.83</v>
      </c>
      <c r="G24" s="69">
        <f>SUM('R 2003'!G21+'CR 2003'!H9+'TRT 2003'!G24)</f>
        <v>7748.85</v>
      </c>
      <c r="H24" s="69">
        <f>SUM('R 2003'!H21+'CR 2003'!I9+'TRT 2003'!H24)</f>
        <v>14608.81</v>
      </c>
      <c r="I24" s="69">
        <f>SUM('R 2003'!I21+'CR 2003'!J9+'TRT 2003'!I24)</f>
        <v>78052.83</v>
      </c>
      <c r="J24" s="69">
        <f>SUM('R 2003'!J21+'CR 2003'!K9+'TRT 2003'!J24)</f>
        <v>9769.7099999999991</v>
      </c>
      <c r="K24" s="69">
        <f>SUM('R 2003'!K21+'CR 2003'!L9+'TRT 2003'!K24)</f>
        <v>16277.74</v>
      </c>
      <c r="L24" s="69">
        <f>SUM('R 2003'!L21+'CR 2003'!M9+'TRT 2003'!L24)</f>
        <v>81939.820000000007</v>
      </c>
      <c r="M24" s="69">
        <f>SUM('R 2003'!M21+'CR 2003'!N9+'TRT 2003'!M24)</f>
        <v>23117.25</v>
      </c>
      <c r="N24" s="81">
        <f t="shared" si="1"/>
        <v>355710.98</v>
      </c>
      <c r="O24" s="19">
        <v>355289</v>
      </c>
      <c r="P24" s="84">
        <f t="shared" si="0"/>
        <v>1.1877091607113144E-3</v>
      </c>
      <c r="Q24" s="22">
        <f t="shared" si="2"/>
        <v>7.1470499541876177E-3</v>
      </c>
    </row>
    <row r="25" spans="1:17">
      <c r="A25" s="49" t="s">
        <v>34</v>
      </c>
      <c r="B25" s="69">
        <f>SUM('R 2003'!B22+'TRT 2003'!B25)</f>
        <v>172802.62</v>
      </c>
      <c r="C25" s="69">
        <f>SUM('R 2003'!C22+'TRT 2003'!C25)</f>
        <v>637434.79</v>
      </c>
      <c r="D25" s="69">
        <f>SUM('R 2003'!D22+'TRT 2003'!D25)</f>
        <v>747782.84000000008</v>
      </c>
      <c r="E25" s="69">
        <f>SUM('R 2003'!E22+'TRT 2003'!E25)</f>
        <v>679896.84000000008</v>
      </c>
      <c r="F25" s="69">
        <f>SUM('R 2003'!F22+'TRT 2003'!F25)</f>
        <v>863957.22</v>
      </c>
      <c r="G25" s="69">
        <f>SUM('R 2003'!G22+'TRT 2003'!G25)</f>
        <v>109070.29000000001</v>
      </c>
      <c r="H25" s="69">
        <f>SUM('R 2003'!H22+'TRT 2003'!H25)</f>
        <v>70225.009999999995</v>
      </c>
      <c r="I25" s="69">
        <f>SUM('R 2003'!I22+'TRT 2003'!I25)</f>
        <v>182308.13</v>
      </c>
      <c r="J25" s="69">
        <f>SUM('R 2003'!J22+'TRT 2003'!J25)</f>
        <v>229345.64</v>
      </c>
      <c r="K25" s="69">
        <f>SUM('R 2003'!K22+'TRT 2003'!K25)</f>
        <v>195327</v>
      </c>
      <c r="L25" s="69">
        <f>SUM('R 2003'!L22+'TRT 2003'!L25)</f>
        <v>237112</v>
      </c>
      <c r="M25" s="69">
        <f>SUM('R 2003'!M22+'TRT 2003'!M25)</f>
        <v>160316.72</v>
      </c>
      <c r="N25" s="81">
        <f t="shared" si="1"/>
        <v>4285579.0999999996</v>
      </c>
      <c r="O25" s="19">
        <v>4488481</v>
      </c>
      <c r="P25" s="84">
        <f t="shared" si="0"/>
        <v>-4.520502593193565E-2</v>
      </c>
      <c r="Q25" s="22">
        <f t="shared" si="2"/>
        <v>8.6107119634941859E-2</v>
      </c>
    </row>
    <row r="26" spans="1:17">
      <c r="A26" s="49" t="s">
        <v>35</v>
      </c>
      <c r="B26" s="69">
        <f>SUM('R 2003'!B23+'TRT 2003'!B26)</f>
        <v>15442.599999999999</v>
      </c>
      <c r="C26" s="69">
        <f>SUM('R 2003'!C23+'TRT 2003'!C26)</f>
        <v>39423.01</v>
      </c>
      <c r="D26" s="69">
        <f>SUM('R 2003'!D23+'TRT 2003'!D26)</f>
        <v>19642.96</v>
      </c>
      <c r="E26" s="69">
        <f>SUM('R 2003'!E23+'TRT 2003'!E26)</f>
        <v>14285.29</v>
      </c>
      <c r="F26" s="69">
        <f>SUM('R 2003'!F23+'TRT 2003'!F26)</f>
        <v>40449.660000000003</v>
      </c>
      <c r="G26" s="69">
        <f>SUM('R 2003'!G23+'TRT 2003'!G26)</f>
        <v>22155.09</v>
      </c>
      <c r="H26" s="69">
        <f>SUM('R 2003'!H23+'TRT 2003'!H26)</f>
        <v>32343.519999999997</v>
      </c>
      <c r="I26" s="69">
        <f>SUM('R 2003'!I23+'TRT 2003'!I26)</f>
        <v>59244.28</v>
      </c>
      <c r="J26" s="69">
        <f>SUM('R 2003'!J23+'TRT 2003'!J26)</f>
        <v>22002.92</v>
      </c>
      <c r="K26" s="69">
        <f>SUM('R 2003'!K23+'TRT 2003'!K26)</f>
        <v>37393</v>
      </c>
      <c r="L26" s="69">
        <f>SUM('R 2003'!L23+'TRT 2003'!L26)</f>
        <v>59687</v>
      </c>
      <c r="M26" s="69">
        <f>SUM('R 2003'!M23+'TRT 2003'!M26)</f>
        <v>31870.55</v>
      </c>
      <c r="N26" s="81">
        <f t="shared" si="1"/>
        <v>393939.88</v>
      </c>
      <c r="O26" s="19">
        <v>358459</v>
      </c>
      <c r="P26" s="84">
        <f t="shared" si="0"/>
        <v>9.8981696651499806E-2</v>
      </c>
      <c r="Q26" s="22">
        <f t="shared" si="2"/>
        <v>7.9151562915113719E-3</v>
      </c>
    </row>
    <row r="27" spans="1:17">
      <c r="A27" s="49" t="s">
        <v>36</v>
      </c>
      <c r="B27" s="69">
        <f>SUM('R 2003'!B24+'CR 2003'!C10+'TRT 2003'!B27)</f>
        <v>14775.63</v>
      </c>
      <c r="C27" s="69">
        <f>SUM('R 2003'!C24+'CR 2003'!D10+'TRT 2003'!C27)</f>
        <v>41468.36</v>
      </c>
      <c r="D27" s="69">
        <f>SUM('R 2003'!D24+'CR 2003'!E10+'TRT 2003'!D27)</f>
        <v>14893.61</v>
      </c>
      <c r="E27" s="69">
        <f>SUM('R 2003'!E24+'CR 2003'!F10+'TRT 2003'!E27)</f>
        <v>12198.61</v>
      </c>
      <c r="F27" s="69">
        <f>SUM('R 2003'!F24+'CR 2003'!G10+'TRT 2003'!F27)</f>
        <v>34405.18</v>
      </c>
      <c r="G27" s="69">
        <f>SUM('R 2003'!G24+'CR 2003'!H10+'TRT 2003'!G27)</f>
        <v>17671.75</v>
      </c>
      <c r="H27" s="69">
        <f>SUM('R 2003'!H24+'CR 2003'!I10+'TRT 2003'!H27)</f>
        <v>19919.27</v>
      </c>
      <c r="I27" s="69">
        <f>SUM('R 2003'!I24+'CR 2003'!J10+'TRT 2003'!I27)</f>
        <v>55567.880000000005</v>
      </c>
      <c r="J27" s="69">
        <f>SUM('R 2003'!J24+'CR 2003'!K10+'TRT 2003'!J27)</f>
        <v>27005.059999999998</v>
      </c>
      <c r="K27" s="69">
        <f>SUM('R 2003'!K24+'CR 2003'!L10+'TRT 2003'!K27)</f>
        <v>27267.45</v>
      </c>
      <c r="L27" s="69">
        <f>SUM('R 2003'!L24+'CR 2003'!M10+'TRT 2003'!L27)</f>
        <v>59362.86</v>
      </c>
      <c r="M27" s="69">
        <f>SUM('R 2003'!M24+'CR 2003'!N10+'TRT 2003'!M27)</f>
        <v>17622.849999999999</v>
      </c>
      <c r="N27" s="81">
        <f t="shared" si="1"/>
        <v>342158.50999999995</v>
      </c>
      <c r="O27" s="19">
        <v>355567</v>
      </c>
      <c r="P27" s="84">
        <f t="shared" si="0"/>
        <v>-3.7710164329085805E-2</v>
      </c>
      <c r="Q27" s="22">
        <f t="shared" si="2"/>
        <v>6.8747497286150774E-3</v>
      </c>
    </row>
    <row r="28" spans="1:17">
      <c r="A28" s="49" t="s">
        <v>37</v>
      </c>
      <c r="B28" s="69">
        <f>SUM('R 2003'!B25+'TRT 2003'!B28)</f>
        <v>250660.47999999998</v>
      </c>
      <c r="C28" s="69">
        <f>SUM('R 2003'!C25+'TRT 2003'!C28)</f>
        <v>369648.93</v>
      </c>
      <c r="D28" s="69">
        <f>SUM('R 2003'!D25+'TRT 2003'!D28)</f>
        <v>247757.16</v>
      </c>
      <c r="E28" s="69">
        <f>SUM('R 2003'!E25+'TRT 2003'!E28)</f>
        <v>214573.53999999998</v>
      </c>
      <c r="F28" s="69">
        <f>SUM('R 2003'!F25+'TRT 2003'!F28)</f>
        <v>407801.24</v>
      </c>
      <c r="G28" s="69">
        <f>SUM('R 2003'!G25+'TRT 2003'!G28)</f>
        <v>275767.88</v>
      </c>
      <c r="H28" s="69">
        <f>SUM('R 2003'!H25+'TRT 2003'!H28)</f>
        <v>250869.66</v>
      </c>
      <c r="I28" s="69">
        <f>SUM('R 2003'!I25+'TRT 2003'!I28)</f>
        <v>438988.83</v>
      </c>
      <c r="J28" s="69">
        <f>SUM('R 2003'!J25+'TRT 2003'!J28)</f>
        <v>308604.27</v>
      </c>
      <c r="K28" s="69">
        <f>SUM('R 2003'!K25+'TRT 2003'!K28)</f>
        <v>310400</v>
      </c>
      <c r="L28" s="69">
        <f>SUM('R 2003'!L25+'TRT 2003'!L28)</f>
        <v>431815</v>
      </c>
      <c r="M28" s="69">
        <f>SUM('R 2003'!M25+'TRT 2003'!M28)</f>
        <v>309670.26</v>
      </c>
      <c r="N28" s="81">
        <f t="shared" si="1"/>
        <v>3816557.25</v>
      </c>
      <c r="O28" s="19">
        <v>3944418</v>
      </c>
      <c r="P28" s="84">
        <f t="shared" si="0"/>
        <v>-3.24156187300636E-2</v>
      </c>
      <c r="Q28" s="22">
        <f t="shared" si="2"/>
        <v>7.6683394251048767E-2</v>
      </c>
    </row>
    <row r="29" spans="1:17">
      <c r="A29" s="49" t="s">
        <v>38</v>
      </c>
      <c r="B29" s="69">
        <f>SUM('R 2003'!B26+'TRT 2003'!B29)</f>
        <v>15788.75</v>
      </c>
      <c r="C29" s="69">
        <f>SUM('R 2003'!C26+'TRT 2003'!C29)</f>
        <v>42823.399999999994</v>
      </c>
      <c r="D29" s="69">
        <f>SUM('R 2003'!D26+'TRT 2003'!D29)</f>
        <v>29102.11</v>
      </c>
      <c r="E29" s="69">
        <f>SUM('R 2003'!E26+'TRT 2003'!E29)</f>
        <v>25785.1</v>
      </c>
      <c r="F29" s="69">
        <f>SUM('R 2003'!F26+'TRT 2003'!F29)</f>
        <v>35777.880000000005</v>
      </c>
      <c r="G29" s="69">
        <f>SUM('R 2003'!G26+'TRT 2003'!G29)</f>
        <v>16767.54</v>
      </c>
      <c r="H29" s="69">
        <f>SUM('R 2003'!H26+'TRT 2003'!H29)</f>
        <v>23975.18</v>
      </c>
      <c r="I29" s="69">
        <f>SUM('R 2003'!I26+'TRT 2003'!I29)</f>
        <v>54084.17</v>
      </c>
      <c r="J29" s="69">
        <f>SUM('R 2003'!J26+'TRT 2003'!J29)</f>
        <v>41256.07</v>
      </c>
      <c r="K29" s="69">
        <f>SUM('R 2003'!K26+'TRT 2003'!K29)</f>
        <v>33609</v>
      </c>
      <c r="L29" s="69">
        <f>SUM('R 2003'!L26+'TRT 2003'!L29)</f>
        <v>63351</v>
      </c>
      <c r="M29" s="69">
        <f>SUM('R 2003'!M26+'TRT 2003'!M29)</f>
        <v>23499.72</v>
      </c>
      <c r="N29" s="81">
        <f t="shared" si="1"/>
        <v>405819.92000000004</v>
      </c>
      <c r="O29" s="19">
        <v>454117</v>
      </c>
      <c r="P29" s="84">
        <f t="shared" si="0"/>
        <v>-0.1063538251155538</v>
      </c>
      <c r="Q29" s="22">
        <f t="shared" si="2"/>
        <v>8.1538535601133905E-3</v>
      </c>
    </row>
    <row r="30" spans="1:17">
      <c r="A30" s="49" t="s">
        <v>39</v>
      </c>
      <c r="B30" s="69">
        <f>SUM('R 2003'!B27+'CR 2003'!C12+'TRT 2003'!B30)</f>
        <v>144688.14000000001</v>
      </c>
      <c r="C30" s="69">
        <f>SUM('R 2003'!C27+'CR 2003'!D12+'TRT 2003'!C30)</f>
        <v>230956.34</v>
      </c>
      <c r="D30" s="69">
        <f>SUM('R 2003'!D27+'CR 2003'!E12+'TRT 2003'!D30)</f>
        <v>145853.76999999999</v>
      </c>
      <c r="E30" s="69">
        <f>SUM('R 2003'!E27+'CR 2003'!F12+'TRT 2003'!E30)</f>
        <v>130040.68</v>
      </c>
      <c r="F30" s="69">
        <f>SUM('R 2003'!F27+'CR 2003'!G12+'TRT 2003'!F30)</f>
        <v>308380.81999999995</v>
      </c>
      <c r="G30" s="69">
        <f>SUM('R 2003'!G27+'CR 2003'!H12+'TRT 2003'!G30)</f>
        <v>169262.75</v>
      </c>
      <c r="H30" s="69">
        <f>SUM('R 2003'!H27+'CR 2003'!I12+'TRT 2003'!H30)</f>
        <v>189852.51</v>
      </c>
      <c r="I30" s="69">
        <f>SUM('R 2003'!I27+'CR 2003'!J12+'TRT 2003'!I30)</f>
        <v>346998.37</v>
      </c>
      <c r="J30" s="69">
        <f>SUM('R 2003'!J27+'CR 2003'!K12+'TRT 2003'!J30)</f>
        <v>194716.27000000002</v>
      </c>
      <c r="K30" s="69">
        <f>SUM('R 2003'!K27+'CR 2003'!L12+'TRT 2003'!K30)</f>
        <v>189229.82</v>
      </c>
      <c r="L30" s="69">
        <f>SUM('R 2003'!L27+'CR 2003'!M12+'TRT 2003'!L30)</f>
        <v>329315.09999999998</v>
      </c>
      <c r="M30" s="69">
        <f>SUM('R 2003'!M27+'CR 2003'!N12+'TRT 2003'!M30)</f>
        <v>217175.31</v>
      </c>
      <c r="N30" s="81">
        <f t="shared" si="1"/>
        <v>2596469.88</v>
      </c>
      <c r="O30" s="19">
        <v>2438614</v>
      </c>
      <c r="P30" s="84">
        <f t="shared" si="0"/>
        <v>6.4731802573100961E-2</v>
      </c>
      <c r="Q30" s="22">
        <f t="shared" si="2"/>
        <v>5.2169038855375029E-2</v>
      </c>
    </row>
    <row r="31" spans="1:17">
      <c r="A31" s="49" t="s">
        <v>40</v>
      </c>
      <c r="B31" s="69">
        <f>SUM('R 2003'!B28+'TRT 2003'!B31)</f>
        <v>4866.6099999999997</v>
      </c>
      <c r="C31" s="69">
        <f>SUM('R 2003'!C28+'TRT 2003'!C31)</f>
        <v>14261.64</v>
      </c>
      <c r="D31" s="69">
        <f>SUM('R 2003'!D28+'TRT 2003'!D31)</f>
        <v>3538.54</v>
      </c>
      <c r="E31" s="69">
        <f>SUM('R 2003'!E28+'TRT 2003'!E31)</f>
        <v>1701.65</v>
      </c>
      <c r="F31" s="69">
        <f>SUM('R 2003'!F28+'TRT 2003'!F31)</f>
        <v>8229.0600000000013</v>
      </c>
      <c r="G31" s="69">
        <f>SUM('R 2003'!G28+'TRT 2003'!G31)</f>
        <v>4894.79</v>
      </c>
      <c r="H31" s="69">
        <f>SUM('R 2003'!H28+'TRT 2003'!H31)</f>
        <v>5733.41</v>
      </c>
      <c r="I31" s="69">
        <f>SUM('R 2003'!I28+'TRT 2003'!I31)</f>
        <v>37629.479999999996</v>
      </c>
      <c r="J31" s="69">
        <f>SUM('R 2003'!J28+'TRT 2003'!J31)</f>
        <v>3219.15</v>
      </c>
      <c r="K31" s="69">
        <f>SUM('R 2003'!K28+'TRT 2003'!K31)</f>
        <v>4645</v>
      </c>
      <c r="L31" s="69">
        <f>SUM('R 2003'!L28+'TRT 2003'!L31)</f>
        <v>35991</v>
      </c>
      <c r="M31" s="69">
        <f>SUM('R 2003'!M28+'TRT 2003'!M31)</f>
        <v>9479.66</v>
      </c>
      <c r="N31" s="81">
        <f t="shared" si="1"/>
        <v>134189.99</v>
      </c>
      <c r="O31" s="19">
        <v>120467</v>
      </c>
      <c r="P31" s="84">
        <f t="shared" si="0"/>
        <v>0.11391493105995831</v>
      </c>
      <c r="Q31" s="22">
        <f t="shared" si="2"/>
        <v>2.6961848686310914E-3</v>
      </c>
    </row>
    <row r="32" spans="1:17" ht="13" thickBot="1">
      <c r="A32" s="53" t="s">
        <v>41</v>
      </c>
      <c r="B32" s="70">
        <f>SUM('R 2003'!B29+'CR 2003'!C13+'TRT 2003'!B32)</f>
        <v>130960.26999999999</v>
      </c>
      <c r="C32" s="70">
        <f>SUM('R 2003'!C29+'CR 2003'!D13+'TRT 2003'!C32)</f>
        <v>262964</v>
      </c>
      <c r="D32" s="70">
        <f>SUM('R 2003'!D29+'CR 2003'!E13+'TRT 2003'!D32)</f>
        <v>159460.35999999999</v>
      </c>
      <c r="E32" s="70">
        <f>SUM('R 2003'!E29+'CR 2003'!F13+'TRT 2003'!E32)</f>
        <v>141445.25</v>
      </c>
      <c r="F32" s="70">
        <f>SUM('R 2003'!F29+'CR 2003'!G13+'TRT 2003'!F32)</f>
        <v>294422.31</v>
      </c>
      <c r="G32" s="70">
        <f>SUM('R 2003'!G29+'CR 2003'!H13+'TRT 2003'!G32)</f>
        <v>151119.43</v>
      </c>
      <c r="H32" s="70">
        <f>SUM('R 2003'!H29+'CR 2003'!I13+'TRT 2003'!H32)</f>
        <v>153240.10999999999</v>
      </c>
      <c r="I32" s="70">
        <f>SUM('R 2003'!I29+'CR 2003'!J13+'TRT 2003'!I32)</f>
        <v>307586.95</v>
      </c>
      <c r="J32" s="70">
        <f>SUM('R 2003'!J29+'CR 2003'!K13+'TRT 2003'!J32)</f>
        <v>181027.08000000002</v>
      </c>
      <c r="K32" s="70">
        <f>SUM('R 2003'!K29+'CR 2003'!L13+'TRT 2003'!K32)</f>
        <v>188970.77</v>
      </c>
      <c r="L32" s="70">
        <f>SUM('R 2003'!L29+'CR 2003'!M13+'TRT 2003'!L32)</f>
        <v>317624.99</v>
      </c>
      <c r="M32" s="70">
        <f>SUM('R 2003'!M29+'CR 2003'!N13+'TRT 2003'!M32)</f>
        <v>183759.34</v>
      </c>
      <c r="N32" s="81">
        <f t="shared" si="1"/>
        <v>2472580.86</v>
      </c>
      <c r="O32" s="20">
        <v>2334396</v>
      </c>
      <c r="P32" s="85">
        <f t="shared" si="0"/>
        <v>5.9195123706517583E-2</v>
      </c>
      <c r="Q32" s="21">
        <f t="shared" si="2"/>
        <v>4.9679824115039066E-2</v>
      </c>
    </row>
    <row r="33" spans="1:17" ht="14" thickTop="1" thickBot="1">
      <c r="A33" s="56" t="s">
        <v>54</v>
      </c>
      <c r="B33" s="71">
        <f t="shared" ref="B33:M33" si="3">SUM(B4:B32)</f>
        <v>2785480.4299999997</v>
      </c>
      <c r="C33" s="58">
        <f t="shared" si="3"/>
        <v>4803679.879999999</v>
      </c>
      <c r="D33" s="58">
        <f t="shared" si="3"/>
        <v>4016232.66</v>
      </c>
      <c r="E33" s="58">
        <f t="shared" si="3"/>
        <v>3749056.2700000005</v>
      </c>
      <c r="F33" s="58">
        <f t="shared" si="3"/>
        <v>6171862.9900000002</v>
      </c>
      <c r="G33" s="58">
        <f t="shared" si="3"/>
        <v>3219208.6399999997</v>
      </c>
      <c r="H33" s="58">
        <f t="shared" si="3"/>
        <v>3166993.94</v>
      </c>
      <c r="I33" s="58">
        <f t="shared" si="3"/>
        <v>5041473.3599999994</v>
      </c>
      <c r="J33" s="58">
        <f t="shared" si="3"/>
        <v>3708737.26</v>
      </c>
      <c r="K33" s="58">
        <f t="shared" si="3"/>
        <v>4093714.1100000003</v>
      </c>
      <c r="L33" s="58">
        <f t="shared" si="3"/>
        <v>5173995.5599999996</v>
      </c>
      <c r="M33" s="59">
        <f t="shared" si="3"/>
        <v>3839887.24</v>
      </c>
      <c r="N33" s="83">
        <f>SUM(N4:N32)</f>
        <v>49770322.340000004</v>
      </c>
      <c r="O33" s="90">
        <f>SUM(O4:O32)</f>
        <v>52678898</v>
      </c>
      <c r="P33" s="86">
        <f t="shared" si="0"/>
        <v>-5.5213297362446623E-2</v>
      </c>
      <c r="Q33" s="64">
        <f t="shared" si="2"/>
        <v>1</v>
      </c>
    </row>
    <row r="34" spans="1:17">
      <c r="B34" s="28" t="e">
        <f>B33/'TOTAL 2002'!B33-1</f>
        <v>#REF!</v>
      </c>
      <c r="C34" s="28" t="e">
        <f>C33/'TOTAL 2002'!C33-1</f>
        <v>#REF!</v>
      </c>
      <c r="D34" s="28" t="e">
        <f>D33/'TOTAL 2002'!D33-1</f>
        <v>#REF!</v>
      </c>
      <c r="E34" s="28" t="e">
        <f>E33/'TOTAL 2002'!E33-1</f>
        <v>#REF!</v>
      </c>
      <c r="F34" s="28" t="e">
        <f>F33/'TOTAL 2002'!F33-1</f>
        <v>#REF!</v>
      </c>
      <c r="G34" s="28" t="e">
        <f>G33/'TOTAL 2002'!G33-1</f>
        <v>#REF!</v>
      </c>
      <c r="H34" s="28" t="e">
        <f>H33/'TOTAL 2002'!H33-1</f>
        <v>#REF!</v>
      </c>
      <c r="I34" s="28" t="e">
        <f>I33/'TOTAL 2002'!I33-1</f>
        <v>#REF!</v>
      </c>
      <c r="J34" s="28" t="e">
        <f>J33/'TOTAL 2002'!J33-1</f>
        <v>#REF!</v>
      </c>
      <c r="K34" s="28" t="e">
        <f>K33/'TOTAL 2002'!K33-1</f>
        <v>#REF!</v>
      </c>
      <c r="L34" s="28" t="e">
        <f>L33/'TOTAL 2002'!L33-1</f>
        <v>#REF!</v>
      </c>
      <c r="M34" s="28" t="e">
        <f>M33/'TOTAL 2002'!M33-1</f>
        <v>#REF!</v>
      </c>
      <c r="N34" s="28" t="e">
        <f>N33/'TOTAL 2002'!N33-1</f>
        <v>#REF!</v>
      </c>
    </row>
    <row r="35" spans="1:17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7">
      <c r="A36" s="73" t="s">
        <v>60</v>
      </c>
    </row>
    <row r="37" spans="1:17">
      <c r="A37" s="1" t="s">
        <v>61</v>
      </c>
    </row>
  </sheetData>
  <mergeCells count="1">
    <mergeCell ref="A1:Q1"/>
  </mergeCells>
  <phoneticPr fontId="0" type="noConversion"/>
  <pageMargins left="0.5" right="0.5" top="0.75" bottom="0.75" header="0.5" footer="0.5"/>
  <pageSetup scale="83" orientation="landscape"/>
  <headerFooter alignWithMargins="0">
    <oddFooter>&amp;L&amp;"Arial,Bold"&amp;D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theme="1"/>
    <pageSetUpPr fitToPage="1"/>
  </sheetPr>
  <dimension ref="A1:P33"/>
  <sheetViews>
    <sheetView workbookViewId="0">
      <selection activeCell="P43" sqref="P43"/>
    </sheetView>
  </sheetViews>
  <sheetFormatPr baseColWidth="10" defaultColWidth="8.83203125" defaultRowHeight="12" x14ac:dyDescent="0"/>
  <cols>
    <col min="1" max="1" width="11.33203125" bestFit="1" customWidth="1"/>
    <col min="2" max="13" width="8.6640625" bestFit="1" customWidth="1"/>
    <col min="14" max="15" width="9.5" bestFit="1" customWidth="1"/>
    <col min="16" max="16" width="10.1640625" bestFit="1" customWidth="1"/>
  </cols>
  <sheetData>
    <row r="1" spans="1:16" ht="21">
      <c r="A1" s="691" t="s">
        <v>56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16" ht="13" thickBot="1">
      <c r="A2" s="47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3" thickBot="1">
      <c r="A3" s="5" t="s">
        <v>42</v>
      </c>
      <c r="B3" s="7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8" t="s">
        <v>13</v>
      </c>
      <c r="N3" s="52" t="s">
        <v>14</v>
      </c>
      <c r="O3" s="6" t="s">
        <v>15</v>
      </c>
      <c r="P3" s="18" t="s">
        <v>16</v>
      </c>
    </row>
    <row r="4" spans="1:16">
      <c r="A4" s="49" t="s">
        <v>17</v>
      </c>
      <c r="B4" s="65">
        <f>SUM('R 2002'!B4+'TRT 2002'!B4)</f>
        <v>3931.12</v>
      </c>
      <c r="C4" s="36">
        <f>SUM('R 2002'!C4+'TRT 2002'!C4)</f>
        <v>26020.5</v>
      </c>
      <c r="D4" s="36">
        <f>SUM('R 2002'!D4+'TRT 2002'!D4)</f>
        <v>3115.97</v>
      </c>
      <c r="E4" s="36">
        <f>SUM('R 2002'!E4+'TRT 2002'!E4)</f>
        <v>897.15</v>
      </c>
      <c r="F4" s="36">
        <f>SUM('R 2002'!F4+'TRT 2002'!F4)</f>
        <v>27004.639999999999</v>
      </c>
      <c r="G4" s="36">
        <f>SUM('R 2002'!G4+'TRT 2002'!G4)</f>
        <v>3582.8500000000004</v>
      </c>
      <c r="H4" s="36">
        <f>SUM('R 2002'!H4+'TRT 2002'!H4)</f>
        <v>3498.25</v>
      </c>
      <c r="I4" s="36">
        <f>SUM('R 2002'!I4+'TRT 2002'!I4)</f>
        <v>31292.32</v>
      </c>
      <c r="J4" s="36">
        <f>SUM('R 2002'!J4+'TRT 2002'!J4)</f>
        <v>5615.6900000000005</v>
      </c>
      <c r="K4" s="36">
        <f>SUM('R 2002'!K4+'TRT 2002'!K4)</f>
        <v>4126.59</v>
      </c>
      <c r="L4" s="36">
        <f>SUM('R 2002'!L4+'TRT 2002'!L4)</f>
        <v>42080.93</v>
      </c>
      <c r="M4" s="66">
        <f>SUM('R 2002'!M4+'TRT 2002'!M4)</f>
        <v>3140.6400000000003</v>
      </c>
      <c r="N4" s="60">
        <f>SUM(B4:M4)</f>
        <v>154306.65</v>
      </c>
      <c r="O4" s="19">
        <f>SUM('R 2001'!N4+'TRT 2002'!O4)</f>
        <v>95657.430000000008</v>
      </c>
      <c r="P4" s="22">
        <f>N4/O4-1</f>
        <v>0.61311724557099212</v>
      </c>
    </row>
    <row r="5" spans="1:16">
      <c r="A5" s="49" t="s">
        <v>18</v>
      </c>
      <c r="B5" s="50">
        <f>'R 2002'!B5+'TRT 2002'!B5</f>
        <v>15729.279999999999</v>
      </c>
      <c r="C5" s="19">
        <f>'R 2002'!C5+'TRT 2002'!C5</f>
        <v>45225.09</v>
      </c>
      <c r="D5" s="19">
        <f>'R 2002'!D5+'TRT 2002'!D5</f>
        <v>16754.71</v>
      </c>
      <c r="E5" s="19">
        <f>'R 2002'!E5+'TRT 2002'!E5</f>
        <v>19476.7</v>
      </c>
      <c r="F5" s="19">
        <f>'R 2002'!F5+'TRT 2002'!F5</f>
        <v>43398.479999999996</v>
      </c>
      <c r="G5" s="19">
        <f>'R 2002'!G5+'TRT 2002'!G5</f>
        <v>21644.73</v>
      </c>
      <c r="H5" s="19">
        <f>'R 2002'!H5+'TRT 2002'!H5</f>
        <v>13463.24</v>
      </c>
      <c r="I5" s="19">
        <f>'R 2002'!I5+'TRT 2002'!I5</f>
        <v>56504.1</v>
      </c>
      <c r="J5" s="19">
        <f>'R 2002'!J5+'TRT 2002'!J5</f>
        <v>21669.47</v>
      </c>
      <c r="K5" s="19">
        <f>'R 2002'!K5+'TRT 2002'!K5</f>
        <v>31021.17</v>
      </c>
      <c r="L5" s="19">
        <f>'R 2002'!L5+'TRT 2002'!L5</f>
        <v>53160.380000000005</v>
      </c>
      <c r="M5" s="51">
        <f>'R 2002'!M5+'TRT 2002'!M5</f>
        <v>25123.64</v>
      </c>
      <c r="N5" s="60">
        <f t="shared" ref="N5:N33" si="0">SUM(B5:M5)</f>
        <v>363170.99</v>
      </c>
      <c r="O5" s="19">
        <f>SUM('R 2001'!N5+'TRT 2002'!O5)</f>
        <v>356598.25</v>
      </c>
      <c r="P5" s="22">
        <f t="shared" ref="P5:P31" si="1">N5/O5-1</f>
        <v>1.8431778619216521E-2</v>
      </c>
    </row>
    <row r="6" spans="1:16">
      <c r="A6" s="49" t="s">
        <v>19</v>
      </c>
      <c r="B6" s="50">
        <f>SUM('R 2002'!B6+'TRT 2002'!B6)</f>
        <v>48797.96</v>
      </c>
      <c r="C6" s="19">
        <f>SUM('R 2002'!C6+'TRT 2002'!C6)</f>
        <v>89933.86</v>
      </c>
      <c r="D6" s="19">
        <f>SUM('R 2002'!D6+'TRT 2002'!D6)</f>
        <v>52985.63</v>
      </c>
      <c r="E6" s="19">
        <f>SUM('R 2002'!E6+'TRT 2002'!E6)</f>
        <v>70290.28</v>
      </c>
      <c r="F6" s="19">
        <f>SUM('R 2002'!F6+'TRT 2002'!F6)</f>
        <v>100238.98</v>
      </c>
      <c r="G6" s="19">
        <f>SUM('R 2002'!G6+'TRT 2002'!G6)</f>
        <v>54500.07</v>
      </c>
      <c r="H6" s="19">
        <f>SUM('R 2002'!H6+'TRT 2002'!H6)</f>
        <v>43590.42</v>
      </c>
      <c r="I6" s="19">
        <f>SUM('R 2002'!I6+'TRT 2002'!I6)</f>
        <v>110459.20999999999</v>
      </c>
      <c r="J6" s="19">
        <f>SUM('R 2002'!J6+'TRT 2002'!J6)</f>
        <v>58091.530000000006</v>
      </c>
      <c r="K6" s="19">
        <f>SUM('R 2002'!K6+'TRT 2002'!K6)</f>
        <v>63680.28</v>
      </c>
      <c r="L6" s="19">
        <f>SUM('R 2002'!L6+'TRT 2002'!L6)</f>
        <v>124031.97</v>
      </c>
      <c r="M6" s="51">
        <f>SUM('R 2002'!M6+'TRT 2002'!M6)</f>
        <v>54886.17</v>
      </c>
      <c r="N6" s="60">
        <f t="shared" si="0"/>
        <v>871486.3600000001</v>
      </c>
      <c r="O6" s="19">
        <f>SUM('R 2001'!N6+'TRT 2002'!O6)</f>
        <v>807951.29</v>
      </c>
      <c r="P6" s="22">
        <f t="shared" si="1"/>
        <v>7.8637252995783946E-2</v>
      </c>
    </row>
    <row r="7" spans="1:16">
      <c r="A7" s="49" t="s">
        <v>20</v>
      </c>
      <c r="B7" s="50">
        <f>SUM('R 2002'!B7+'TRT 2002'!B7)</f>
        <v>16044.24</v>
      </c>
      <c r="C7" s="19">
        <f>SUM('R 2002'!C7+'TRT 2002'!C7)</f>
        <v>34643.61</v>
      </c>
      <c r="D7" s="19">
        <f>SUM('R 2002'!D7+'TRT 2002'!D7)</f>
        <v>14476.68</v>
      </c>
      <c r="E7" s="19">
        <f>SUM('R 2002'!E7+'TRT 2002'!E7)</f>
        <v>14009.2</v>
      </c>
      <c r="F7" s="19">
        <f>SUM('R 2002'!F7+'TRT 2002'!F7)</f>
        <v>31041.920000000002</v>
      </c>
      <c r="G7" s="19">
        <f>SUM('R 2002'!G7+'TRT 2002'!G7)</f>
        <v>30540.65</v>
      </c>
      <c r="H7" s="19">
        <f>SUM('R 2002'!H7+'TRT 2002'!H7)</f>
        <v>21879.629999999997</v>
      </c>
      <c r="I7" s="19">
        <f>SUM('R 2002'!I7+'TRT 2002'!I7)</f>
        <v>48833.850000000006</v>
      </c>
      <c r="J7" s="19">
        <f>SUM('R 2002'!J7+'TRT 2002'!J7)</f>
        <v>20841.879999999997</v>
      </c>
      <c r="K7" s="19">
        <f>SUM('R 2002'!K7+'TRT 2002'!K7)</f>
        <v>18748.079999999998</v>
      </c>
      <c r="L7" s="19">
        <f>SUM('R 2002'!L7+'TRT 2002'!L7)</f>
        <v>45996.91</v>
      </c>
      <c r="M7" s="51">
        <f>SUM('R 2002'!M7+'TRT 2002'!M7)</f>
        <v>22292.33</v>
      </c>
      <c r="N7" s="60">
        <f>SUM(B7:M7)</f>
        <v>319348.98000000004</v>
      </c>
      <c r="O7" s="19">
        <f>SUM('R 2001'!N7+'TRT 2002'!O7)</f>
        <v>298343.71999999997</v>
      </c>
      <c r="P7" s="22">
        <f t="shared" si="1"/>
        <v>7.0406241498899513E-2</v>
      </c>
    </row>
    <row r="8" spans="1:16">
      <c r="A8" s="49" t="s">
        <v>21</v>
      </c>
      <c r="B8" s="50">
        <f>SUM('R 2002'!B8+'TRT 2002'!B8)</f>
        <v>327.27</v>
      </c>
      <c r="C8" s="19">
        <f>SUM('R 2002'!C8+'TRT 2002'!C8)</f>
        <v>5262.78</v>
      </c>
      <c r="D8" s="19">
        <f>SUM('R 2002'!D8+'TRT 2002'!D8)</f>
        <v>260.57</v>
      </c>
      <c r="E8" s="19">
        <f>SUM('R 2002'!E8+'TRT 2002'!E8)</f>
        <v>3257.44</v>
      </c>
      <c r="F8" s="19">
        <f>SUM('R 2002'!F8+'TRT 2002'!F8)</f>
        <v>9248.94</v>
      </c>
      <c r="G8" s="19">
        <f>SUM('R 2002'!G8+'TRT 2002'!G8)</f>
        <v>7982.52</v>
      </c>
      <c r="H8" s="19">
        <f>SUM('R 2002'!H8+'TRT 2002'!H8)</f>
        <v>6031.47</v>
      </c>
      <c r="I8" s="19">
        <f>SUM('R 2002'!I8+'TRT 2002'!I8)</f>
        <v>19757.98</v>
      </c>
      <c r="J8" s="19">
        <f>SUM('R 2002'!J8+'TRT 2002'!J8)</f>
        <v>5910.83</v>
      </c>
      <c r="K8" s="19">
        <f>SUM('R 2002'!K8+'TRT 2002'!K8)</f>
        <v>6218.72</v>
      </c>
      <c r="L8" s="19">
        <f>SUM('R 2002'!L8+'TRT 2002'!L8)</f>
        <v>11753.94</v>
      </c>
      <c r="M8" s="51">
        <f>SUM('R 2002'!M8+'TRT 2002'!M8)</f>
        <v>140.91999999999999</v>
      </c>
      <c r="N8" s="60">
        <f>SUM(B8:M8)</f>
        <v>76153.38</v>
      </c>
      <c r="O8" s="19">
        <f>SUM('R 2001'!N8+'TRT 2002'!O8)</f>
        <v>72143.56</v>
      </c>
      <c r="P8" s="22">
        <f t="shared" si="1"/>
        <v>5.558112186312969E-2</v>
      </c>
    </row>
    <row r="9" spans="1:16">
      <c r="A9" s="49" t="s">
        <v>22</v>
      </c>
      <c r="B9" s="50" t="e">
        <f>SUM('R 2002'!B9+#REF!+'TRT 2002'!B9)</f>
        <v>#REF!</v>
      </c>
      <c r="C9" s="19" t="e">
        <f>SUM('R 2002'!C9+#REF!+'TRT 2002'!C9)</f>
        <v>#REF!</v>
      </c>
      <c r="D9" s="19" t="e">
        <f>SUM('R 2002'!D9+#REF!+'TRT 2002'!D9)</f>
        <v>#REF!</v>
      </c>
      <c r="E9" s="19" t="e">
        <f>SUM('R 2002'!E9+#REF!+'TRT 2002'!E9)</f>
        <v>#REF!</v>
      </c>
      <c r="F9" s="19" t="e">
        <f>SUM('R 2002'!F9+#REF!+'TRT 2002'!F9)</f>
        <v>#REF!</v>
      </c>
      <c r="G9" s="19" t="e">
        <f>SUM('R 2002'!G9+#REF!+'TRT 2002'!G9)</f>
        <v>#REF!</v>
      </c>
      <c r="H9" s="19" t="e">
        <f>SUM('R 2002'!H9+#REF!+'TRT 2002'!H9)</f>
        <v>#REF!</v>
      </c>
      <c r="I9" s="19" t="e">
        <f>SUM('R 2002'!I9+#REF!+'TRT 2002'!I9)</f>
        <v>#REF!</v>
      </c>
      <c r="J9" s="19" t="e">
        <f>SUM('R 2002'!J9+#REF!+'TRT 2002'!J9)</f>
        <v>#REF!</v>
      </c>
      <c r="K9" s="19" t="e">
        <f>SUM('R 2002'!K9+#REF!+'TRT 2002'!K9)</f>
        <v>#REF!</v>
      </c>
      <c r="L9" s="19" t="e">
        <f>SUM('R 2002'!L9+#REF!+'TRT 2002'!L9)</f>
        <v>#REF!</v>
      </c>
      <c r="M9" s="51" t="e">
        <f>SUM('R 2002'!M9+#REF!+'TRT 2002'!M9)</f>
        <v>#REF!</v>
      </c>
      <c r="N9" s="60" t="e">
        <f t="shared" si="0"/>
        <v>#REF!</v>
      </c>
      <c r="O9" s="19" t="e">
        <f>SUM('R 2002'!O9+#REF!+'TRT 2002'!O9)</f>
        <v>#REF!</v>
      </c>
      <c r="P9" s="22" t="e">
        <f t="shared" si="1"/>
        <v>#REF!</v>
      </c>
    </row>
    <row r="10" spans="1:16">
      <c r="A10" s="49" t="s">
        <v>23</v>
      </c>
      <c r="B10" s="50">
        <f>SUM('R 2002'!B10+'TRT 2002'!B10)</f>
        <v>4142.12</v>
      </c>
      <c r="C10" s="19">
        <f>SUM('R 2002'!C10+'TRT 2002'!C10)</f>
        <v>11443.76</v>
      </c>
      <c r="D10" s="19">
        <f>SUM('R 2002'!D10+'TRT 2002'!D10)</f>
        <v>5186.4699999999993</v>
      </c>
      <c r="E10" s="19">
        <f>SUM('R 2002'!E10+'TRT 2002'!E10)</f>
        <v>2929.86</v>
      </c>
      <c r="F10" s="19">
        <f>SUM('R 2002'!F10+'TRT 2002'!F10)</f>
        <v>10506.55</v>
      </c>
      <c r="G10" s="19">
        <f>SUM('R 2002'!G10+'TRT 2002'!G10)</f>
        <v>4851.76</v>
      </c>
      <c r="H10" s="19">
        <f>SUM('R 2002'!H10+'TRT 2002'!H10)</f>
        <v>5262.8600000000006</v>
      </c>
      <c r="I10" s="19">
        <f>SUM('R 2002'!I10+'TRT 2002'!I10)</f>
        <v>14382.029999999999</v>
      </c>
      <c r="J10" s="19">
        <f>SUM('R 2002'!J10+'TRT 2002'!J10)</f>
        <v>7076.66</v>
      </c>
      <c r="K10" s="19">
        <f>SUM('R 2002'!K10+'TRT 2002'!K10)</f>
        <v>4707.8500000000004</v>
      </c>
      <c r="L10" s="19">
        <f>SUM('R 2002'!L10+'TRT 2002'!L10)</f>
        <v>22205.629999999997</v>
      </c>
      <c r="M10" s="51">
        <f>SUM('R 2002'!M10+'TRT 2002'!M10)</f>
        <v>3743.91</v>
      </c>
      <c r="N10" s="60">
        <f t="shared" si="0"/>
        <v>96439.459999999992</v>
      </c>
      <c r="O10" s="19">
        <f>SUM('R 2002'!O10+'TRT 2002'!O10)</f>
        <v>95028.03</v>
      </c>
      <c r="P10" s="22">
        <f t="shared" si="1"/>
        <v>1.485277554422626E-2</v>
      </c>
    </row>
    <row r="11" spans="1:16">
      <c r="A11" s="49" t="s">
        <v>51</v>
      </c>
      <c r="B11" s="50">
        <v>347.16</v>
      </c>
      <c r="C11" s="19">
        <v>2068.56</v>
      </c>
      <c r="D11" s="19">
        <v>297.86</v>
      </c>
      <c r="E11" s="19">
        <v>162.28</v>
      </c>
      <c r="F11" s="19">
        <v>2761.05</v>
      </c>
      <c r="G11" s="19">
        <v>875.61</v>
      </c>
      <c r="H11" s="19">
        <v>1364.98</v>
      </c>
      <c r="I11" s="19">
        <v>6907.77</v>
      </c>
      <c r="J11" s="19">
        <v>330.6</v>
      </c>
      <c r="K11" s="19">
        <v>935.3</v>
      </c>
      <c r="L11" s="19">
        <v>8101.11</v>
      </c>
      <c r="M11" s="51">
        <v>0</v>
      </c>
      <c r="N11" s="60">
        <f t="shared" si="0"/>
        <v>24152.28</v>
      </c>
      <c r="O11" s="19">
        <v>18096.32</v>
      </c>
      <c r="P11" s="22">
        <f t="shared" si="1"/>
        <v>0.33465146504924759</v>
      </c>
    </row>
    <row r="12" spans="1:16">
      <c r="A12" s="49" t="s">
        <v>24</v>
      </c>
      <c r="B12" s="50">
        <f>SUM('R 2002'!B11+'TRT 2002'!B12)</f>
        <v>10461.670000000002</v>
      </c>
      <c r="C12" s="19">
        <f>SUM('R 2002'!C11+'TRT 2002'!C12)</f>
        <v>22872.22</v>
      </c>
      <c r="D12" s="19">
        <f>SUM('R 2002'!D11+'TRT 2002'!D12)</f>
        <v>2805.35</v>
      </c>
      <c r="E12" s="19">
        <f>SUM('R 2002'!E11+'TRT 2002'!E12)</f>
        <v>5236.7700000000004</v>
      </c>
      <c r="F12" s="19">
        <f>SUM('R 2002'!F11+'TRT 2002'!F12)</f>
        <v>19802.169999999998</v>
      </c>
      <c r="G12" s="19">
        <f>SUM('R 2002'!G11+'TRT 2002'!G12)</f>
        <v>28158.22</v>
      </c>
      <c r="H12" s="19">
        <f>SUM('R 2002'!H11+'TRT 2002'!H12)</f>
        <v>42042.77</v>
      </c>
      <c r="I12" s="19">
        <f>SUM('R 2002'!I11+'TRT 2002'!I12)</f>
        <v>109970.07</v>
      </c>
      <c r="J12" s="19">
        <f>SUM('R 2002'!J11+'TRT 2002'!J12)</f>
        <v>53378.62</v>
      </c>
      <c r="K12" s="19">
        <f>SUM('R 2002'!K11+'TRT 2002'!K12)</f>
        <v>63550.429999999993</v>
      </c>
      <c r="L12" s="19">
        <f>SUM('R 2002'!L11+'TRT 2002'!L12)</f>
        <v>138127.32</v>
      </c>
      <c r="M12" s="51">
        <f>SUM('R 2002'!M11+'TRT 2002'!M12)</f>
        <v>37030.480000000003</v>
      </c>
      <c r="N12" s="60">
        <f t="shared" si="0"/>
        <v>533436.09</v>
      </c>
      <c r="O12" s="19">
        <f>SUM('R 2002'!O11+'TRT 2002'!O12)</f>
        <v>531437.11</v>
      </c>
      <c r="P12" s="22">
        <f t="shared" si="1"/>
        <v>3.7614610692129347E-3</v>
      </c>
    </row>
    <row r="13" spans="1:16">
      <c r="A13" s="49" t="s">
        <v>25</v>
      </c>
      <c r="B13" s="50" t="e">
        <f>SUM('R 2002'!B12+#REF!+'TRT 2002'!B13)</f>
        <v>#REF!</v>
      </c>
      <c r="C13" s="19" t="e">
        <f>SUM('R 2002'!C12+#REF!+'TRT 2002'!C13)</f>
        <v>#REF!</v>
      </c>
      <c r="D13" s="19" t="e">
        <f>SUM('R 2002'!D12+#REF!+'TRT 2002'!D13)</f>
        <v>#REF!</v>
      </c>
      <c r="E13" s="19" t="e">
        <f>SUM('R 2002'!E12+#REF!+'TRT 2002'!E13)</f>
        <v>#REF!</v>
      </c>
      <c r="F13" s="19" t="e">
        <f>SUM('R 2002'!F12+#REF!+'TRT 2002'!F13)</f>
        <v>#REF!</v>
      </c>
      <c r="G13" s="19" t="e">
        <f>SUM('R 2002'!G12+#REF!+'TRT 2002'!G13)</f>
        <v>#REF!</v>
      </c>
      <c r="H13" s="19" t="e">
        <f>SUM('R 2002'!H12+#REF!+'TRT 2002'!H13)</f>
        <v>#REF!</v>
      </c>
      <c r="I13" s="19" t="e">
        <f>SUM('R 2002'!I12+#REF!+'TRT 2002'!I13)</f>
        <v>#REF!</v>
      </c>
      <c r="J13" s="19" t="e">
        <f>SUM('R 2002'!J12+#REF!+'TRT 2002'!J13)</f>
        <v>#REF!</v>
      </c>
      <c r="K13" s="19" t="e">
        <f>SUM('R 2002'!K12+#REF!+'TRT 2002'!K13)</f>
        <v>#REF!</v>
      </c>
      <c r="L13" s="19" t="e">
        <f>SUM('R 2002'!L12+#REF!+'TRT 2002'!L13)</f>
        <v>#REF!</v>
      </c>
      <c r="M13" s="51" t="e">
        <f>SUM('R 2002'!M12+#REF!+'TRT 2002'!M13)</f>
        <v>#REF!</v>
      </c>
      <c r="N13" s="60" t="e">
        <f t="shared" si="0"/>
        <v>#REF!</v>
      </c>
      <c r="O13" s="19" t="e">
        <f>SUM('R 2002'!O12+#REF!+'TRT 2002'!O13)</f>
        <v>#REF!</v>
      </c>
      <c r="P13" s="22" t="e">
        <f t="shared" si="1"/>
        <v>#REF!</v>
      </c>
    </row>
    <row r="14" spans="1:16">
      <c r="A14" s="49" t="s">
        <v>26</v>
      </c>
      <c r="B14" s="50">
        <f>SUM('R 2002'!B13+'TRT 2002'!B14)</f>
        <v>25476.73</v>
      </c>
      <c r="C14" s="19">
        <f>SUM('R 2002'!C13+'TRT 2002'!C14)</f>
        <v>85434.91</v>
      </c>
      <c r="D14" s="19">
        <f>SUM('R 2002'!D13+'TRT 2002'!D14)</f>
        <v>29429.95</v>
      </c>
      <c r="E14" s="19">
        <f>SUM('R 2002'!E13+'TRT 2002'!E14)</f>
        <v>34092.550000000003</v>
      </c>
      <c r="F14" s="19">
        <f>SUM('R 2002'!F13+'TRT 2002'!F14)</f>
        <v>98755.260000000009</v>
      </c>
      <c r="G14" s="19">
        <f>SUM('R 2002'!G13+'TRT 2002'!G14)</f>
        <v>38257.49</v>
      </c>
      <c r="H14" s="19">
        <f>SUM('R 2002'!H13+'TRT 2002'!H14)</f>
        <v>35999</v>
      </c>
      <c r="I14" s="19">
        <f>SUM('R 2002'!I13+'TRT 2002'!I14)</f>
        <v>108362.99</v>
      </c>
      <c r="J14" s="19">
        <f>SUM('R 2002'!J13+'TRT 2002'!J14)</f>
        <v>63000.5</v>
      </c>
      <c r="K14" s="19">
        <f>SUM('R 2002'!K13+'TRT 2002'!K14)</f>
        <v>44771.770000000004</v>
      </c>
      <c r="L14" s="19">
        <f>SUM('R 2002'!L13+'TRT 2002'!L14)</f>
        <v>126136.18</v>
      </c>
      <c r="M14" s="51">
        <f>SUM('R 2002'!M13+'TRT 2002'!M14)</f>
        <v>27490.550000000003</v>
      </c>
      <c r="N14" s="60">
        <f t="shared" si="0"/>
        <v>717207.88000000012</v>
      </c>
      <c r="O14" s="19">
        <f>SUM('R 2002'!O13+'TRT 2002'!O14)</f>
        <v>696443.34000000008</v>
      </c>
      <c r="P14" s="22">
        <f t="shared" si="1"/>
        <v>2.9815117479621511E-2</v>
      </c>
    </row>
    <row r="15" spans="1:16">
      <c r="A15" s="49" t="s">
        <v>27</v>
      </c>
      <c r="B15" s="50">
        <f>SUM('R 2002'!B14+'TRT 2002'!B15)</f>
        <v>4440.4299999999994</v>
      </c>
      <c r="C15" s="19">
        <f>SUM('R 2002'!C14+'TRT 2002'!C15)</f>
        <v>17993.620000000003</v>
      </c>
      <c r="D15" s="19">
        <f>SUM('R 2002'!D14+'TRT 2002'!D15)</f>
        <v>6635.34</v>
      </c>
      <c r="E15" s="19">
        <f>SUM('R 2002'!E14+'TRT 2002'!E15)</f>
        <v>3505.74</v>
      </c>
      <c r="F15" s="19">
        <f>SUM('R 2002'!F14+'TRT 2002'!F15)</f>
        <v>26062.43</v>
      </c>
      <c r="G15" s="19">
        <f>SUM('R 2002'!G14+'TRT 2002'!G15)</f>
        <v>4904.84</v>
      </c>
      <c r="H15" s="19">
        <f>SUM('R 2002'!H14+'TRT 2002'!H15)</f>
        <v>6215.2199999999993</v>
      </c>
      <c r="I15" s="19">
        <f>SUM('R 2002'!I14+'TRT 2002'!I15)</f>
        <v>29118.3</v>
      </c>
      <c r="J15" s="19">
        <f>SUM('R 2002'!J14+'TRT 2002'!J15)</f>
        <v>5080.1099999999997</v>
      </c>
      <c r="K15" s="19">
        <f>SUM('R 2002'!K14+'TRT 2002'!K15)</f>
        <v>7548.32</v>
      </c>
      <c r="L15" s="19">
        <f>SUM('R 2002'!L14+'TRT 2002'!L15)</f>
        <v>33636</v>
      </c>
      <c r="M15" s="51">
        <f>SUM('R 2002'!M14+'TRT 2002'!M15)</f>
        <v>4941.41</v>
      </c>
      <c r="N15" s="60">
        <f>SUM(B15:M15)</f>
        <v>150081.76</v>
      </c>
      <c r="O15" s="19">
        <f>SUM('R 2002'!O14+'TRT 2002'!O15)</f>
        <v>128680.13</v>
      </c>
      <c r="P15" s="22">
        <f t="shared" si="1"/>
        <v>0.16631650900570283</v>
      </c>
    </row>
    <row r="16" spans="1:16">
      <c r="A16" s="49" t="s">
        <v>28</v>
      </c>
      <c r="B16" s="50">
        <f>SUM('R 2002'!B15+'TRT 2002'!B16)</f>
        <v>7851.7800000000007</v>
      </c>
      <c r="C16" s="19">
        <f>SUM('R 2002'!C15+'TRT 2002'!C16)</f>
        <v>19309.919999999998</v>
      </c>
      <c r="D16" s="19">
        <f>SUM('R 2002'!D15+'TRT 2002'!D16)</f>
        <v>8736.76</v>
      </c>
      <c r="E16" s="19">
        <f>SUM('R 2002'!E15+'TRT 2002'!E16)</f>
        <v>9243.91</v>
      </c>
      <c r="F16" s="19">
        <f>SUM('R 2002'!F15+'TRT 2002'!F16)</f>
        <v>21373.200000000001</v>
      </c>
      <c r="G16" s="19">
        <f>SUM('R 2002'!G15+'TRT 2002'!G16)</f>
        <v>17759.870000000003</v>
      </c>
      <c r="H16" s="19">
        <f>SUM('R 2002'!H15+'TRT 2002'!H16)</f>
        <v>26774.83</v>
      </c>
      <c r="I16" s="19">
        <f>SUM('R 2002'!I15+'TRT 2002'!I16)</f>
        <v>60603.729999999996</v>
      </c>
      <c r="J16" s="19">
        <f>SUM('R 2002'!J15+'TRT 2002'!J16)</f>
        <v>31147.89</v>
      </c>
      <c r="K16" s="19">
        <f>SUM('R 2002'!K15+'TRT 2002'!K16)</f>
        <v>37448.17</v>
      </c>
      <c r="L16" s="19">
        <f>SUM('R 2002'!L15+'TRT 2002'!L16)</f>
        <v>65861.56</v>
      </c>
      <c r="M16" s="51">
        <f>SUM('R 2002'!M15+'TRT 2002'!M16)</f>
        <v>22951.37</v>
      </c>
      <c r="N16" s="60">
        <f>SUM(B16:M16)</f>
        <v>329062.99</v>
      </c>
      <c r="O16" s="19">
        <f>SUM('R 2002'!O15+'TRT 2002'!O16)</f>
        <v>347021.48</v>
      </c>
      <c r="P16" s="22">
        <f t="shared" si="1"/>
        <v>-5.175037003473093E-2</v>
      </c>
    </row>
    <row r="17" spans="1:16">
      <c r="A17" s="49" t="s">
        <v>52</v>
      </c>
      <c r="B17" s="50">
        <v>1528.89</v>
      </c>
      <c r="C17" s="19">
        <v>10027.49</v>
      </c>
      <c r="D17" s="19">
        <v>2481.83</v>
      </c>
      <c r="E17" s="19">
        <v>1785.07</v>
      </c>
      <c r="F17" s="19">
        <v>8296.31</v>
      </c>
      <c r="G17" s="19">
        <v>1522.96</v>
      </c>
      <c r="H17" s="19">
        <v>7302.31</v>
      </c>
      <c r="I17" s="19">
        <v>17080.97</v>
      </c>
      <c r="J17" s="19">
        <v>2585.4899999999998</v>
      </c>
      <c r="K17" s="19">
        <v>3626.35</v>
      </c>
      <c r="L17" s="19">
        <v>20583.36</v>
      </c>
      <c r="M17" s="51">
        <v>2122.4299999999998</v>
      </c>
      <c r="N17" s="60">
        <f>SUM(B17:M17)</f>
        <v>78943.459999999992</v>
      </c>
      <c r="O17" s="19">
        <v>70291.520000000004</v>
      </c>
      <c r="P17" s="22">
        <f t="shared" si="1"/>
        <v>0.12308654016871423</v>
      </c>
    </row>
    <row r="18" spans="1:16">
      <c r="A18" s="49" t="s">
        <v>29</v>
      </c>
      <c r="B18" s="50" t="e">
        <f>SUM('R 2002'!B16+#REF!+'TRT 2002'!B18)</f>
        <v>#REF!</v>
      </c>
      <c r="C18" s="19" t="e">
        <f>SUM('R 2002'!C16+#REF!+'TRT 2002'!C18)</f>
        <v>#REF!</v>
      </c>
      <c r="D18" s="19" t="e">
        <f>SUM('R 2002'!D16+#REF!+'TRT 2002'!D18)</f>
        <v>#REF!</v>
      </c>
      <c r="E18" s="19" t="e">
        <f>SUM('R 2002'!E16+#REF!+'TRT 2002'!E18)</f>
        <v>#REF!</v>
      </c>
      <c r="F18" s="19" t="e">
        <f>SUM('R 2002'!F16+#REF!+'TRT 2002'!F18)</f>
        <v>#REF!</v>
      </c>
      <c r="G18" s="19" t="e">
        <f>SUM('R 2002'!G16+#REF!+'TRT 2002'!G18)</f>
        <v>#REF!</v>
      </c>
      <c r="H18" s="19" t="e">
        <f>SUM('R 2002'!H16+#REF!+'TRT 2002'!H18)</f>
        <v>#REF!</v>
      </c>
      <c r="I18" s="19" t="e">
        <f>SUM('R 2002'!I16+#REF!+'TRT 2002'!I18)</f>
        <v>#REF!</v>
      </c>
      <c r="J18" s="19" t="e">
        <f>SUM('R 2002'!J16+#REF!+'TRT 2002'!J18)</f>
        <v>#REF!</v>
      </c>
      <c r="K18" s="19" t="e">
        <f>SUM('R 2002'!K16+#REF!+'TRT 2002'!K18)</f>
        <v>#REF!</v>
      </c>
      <c r="L18" s="19" t="e">
        <f>SUM('R 2002'!L16+#REF!+'TRT 2002'!L18)</f>
        <v>#REF!</v>
      </c>
      <c r="M18" s="51" t="e">
        <f>SUM('R 2002'!M16+#REF!+'TRT 2002'!M18)</f>
        <v>#REF!</v>
      </c>
      <c r="N18" s="60" t="e">
        <f t="shared" si="0"/>
        <v>#REF!</v>
      </c>
      <c r="O18" s="19" t="e">
        <f>SUM('R 2002'!O16+#REF!+'TRT 2002'!O18)</f>
        <v>#REF!</v>
      </c>
      <c r="P18" s="22" t="e">
        <f t="shared" si="1"/>
        <v>#REF!</v>
      </c>
    </row>
    <row r="19" spans="1:16">
      <c r="A19" s="49" t="s">
        <v>53</v>
      </c>
      <c r="B19" s="50">
        <v>146.65</v>
      </c>
      <c r="C19" s="19">
        <v>402.71</v>
      </c>
      <c r="D19" s="19">
        <v>53.17</v>
      </c>
      <c r="E19" s="19">
        <v>11.47</v>
      </c>
      <c r="F19" s="19">
        <v>271.82</v>
      </c>
      <c r="G19" s="19">
        <v>104.07</v>
      </c>
      <c r="H19" s="19">
        <v>37.090000000000003</v>
      </c>
      <c r="I19" s="19">
        <v>2338.4699999999998</v>
      </c>
      <c r="J19" s="19">
        <v>0</v>
      </c>
      <c r="K19" s="19">
        <v>199.49</v>
      </c>
      <c r="L19" s="19">
        <v>1908.04</v>
      </c>
      <c r="M19" s="51">
        <v>74.569999999999993</v>
      </c>
      <c r="N19" s="60">
        <f t="shared" si="0"/>
        <v>5547.5499999999993</v>
      </c>
      <c r="O19" s="19">
        <v>4682.78</v>
      </c>
      <c r="P19" s="22">
        <f t="shared" si="1"/>
        <v>0.18467021726410371</v>
      </c>
    </row>
    <row r="20" spans="1:16">
      <c r="A20" s="49" t="s">
        <v>30</v>
      </c>
      <c r="B20" s="50">
        <f>SUM('R 2002'!B17+'TRT 2002'!B20)</f>
        <v>3663.65</v>
      </c>
      <c r="C20" s="19">
        <f>SUM('R 2002'!C17+'TRT 2002'!C20)</f>
        <v>12002.919999999998</v>
      </c>
      <c r="D20" s="19">
        <f>SUM('R 2002'!D17+'TRT 2002'!D20)</f>
        <v>294.76</v>
      </c>
      <c r="E20" s="19">
        <f>SUM('R 2002'!E17+'TRT 2002'!E20)</f>
        <v>9101.4</v>
      </c>
      <c r="F20" s="19">
        <f>SUM('R 2002'!F17+'TRT 2002'!F20)</f>
        <v>19348.439999999999</v>
      </c>
      <c r="G20" s="19">
        <f>SUM('R 2002'!G17+'TRT 2002'!G20)</f>
        <v>14397.810000000001</v>
      </c>
      <c r="H20" s="19">
        <f>SUM('R 2002'!H17+'TRT 2002'!H20)</f>
        <v>4112.8100000000004</v>
      </c>
      <c r="I20" s="19">
        <f>SUM('R 2002'!I17+'TRT 2002'!I20)</f>
        <v>16965.59</v>
      </c>
      <c r="J20" s="19">
        <f>SUM('R 2002'!J17+'TRT 2002'!J20)</f>
        <v>9839.48</v>
      </c>
      <c r="K20" s="19">
        <f>SUM('R 2002'!K17+'TRT 2002'!K20)</f>
        <v>13318.56</v>
      </c>
      <c r="L20" s="19">
        <f>SUM('R 2002'!L17+'TRT 2002'!L20)</f>
        <v>35880.22</v>
      </c>
      <c r="M20" s="51">
        <f>SUM('R 2002'!M17+'TRT 2002'!M20)</f>
        <v>5000.3899999999994</v>
      </c>
      <c r="N20" s="60">
        <f t="shared" si="0"/>
        <v>143926.02999999997</v>
      </c>
      <c r="O20" s="19">
        <f>SUM('R 2002'!O17+'TRT 2002'!O20)</f>
        <v>138807.57</v>
      </c>
      <c r="P20" s="22">
        <f t="shared" si="1"/>
        <v>3.6874501873348509E-2</v>
      </c>
    </row>
    <row r="21" spans="1:16">
      <c r="A21" s="49" t="s">
        <v>31</v>
      </c>
      <c r="B21" s="50" t="e">
        <f>SUM('R 2002'!B18+#REF!+'TRT 2002'!B39+'TRT 2002'!B21)</f>
        <v>#REF!</v>
      </c>
      <c r="C21" s="19" t="e">
        <f>SUM('R 2002'!C18+#REF!+'TRT 2002'!C39+'TRT 2002'!C21)</f>
        <v>#REF!</v>
      </c>
      <c r="D21" s="19" t="e">
        <f>SUM('R 2002'!D18+#REF!+'TRT 2002'!D39+'TRT 2002'!D21)</f>
        <v>#REF!</v>
      </c>
      <c r="E21" s="19" t="e">
        <f>SUM('R 2002'!E18+#REF!+'TRT 2002'!E39+'TRT 2002'!E21)</f>
        <v>#REF!</v>
      </c>
      <c r="F21" s="19" t="e">
        <f>SUM('R 2002'!F18+#REF!+'TRT 2002'!F39+'TRT 2002'!F21)</f>
        <v>#REF!</v>
      </c>
      <c r="G21" s="19" t="e">
        <f>SUM('R 2002'!G18+#REF!+'TRT 2002'!G39+'TRT 2002'!G21)</f>
        <v>#REF!</v>
      </c>
      <c r="H21" s="19" t="e">
        <f>SUM('R 2002'!H18+#REF!+'TRT 2002'!H39+'TRT 2002'!H21)</f>
        <v>#REF!</v>
      </c>
      <c r="I21" s="19" t="e">
        <f>SUM('R 2002'!I18+#REF!+'TRT 2002'!I39+'TRT 2002'!I21)</f>
        <v>#REF!</v>
      </c>
      <c r="J21" s="19" t="e">
        <f>SUM('R 2002'!J18+#REF!+'TRT 2002'!J39+'TRT 2002'!J21)</f>
        <v>#REF!</v>
      </c>
      <c r="K21" s="19" t="e">
        <f>SUM('R 2002'!K18+#REF!+'TRT 2002'!K39+'TRT 2002'!K21)</f>
        <v>#REF!</v>
      </c>
      <c r="L21" s="19" t="e">
        <f>SUM('R 2002'!L18+#REF!+'TRT 2002'!L39+'TRT 2002'!L21)</f>
        <v>#REF!</v>
      </c>
      <c r="M21" s="51" t="e">
        <f>SUM('R 2002'!M18+#REF!+'TRT 2002'!M39+'TRT 2002'!M21)</f>
        <v>#REF!</v>
      </c>
      <c r="N21" s="60" t="e">
        <f t="shared" si="0"/>
        <v>#REF!</v>
      </c>
      <c r="O21" s="19" t="e">
        <f>SUM('R 2002'!O18+#REF!+'TRT 2002'!O21)+1215395</f>
        <v>#REF!</v>
      </c>
      <c r="P21" s="22" t="e">
        <f t="shared" si="1"/>
        <v>#REF!</v>
      </c>
    </row>
    <row r="22" spans="1:16">
      <c r="A22" s="49" t="s">
        <v>45</v>
      </c>
      <c r="B22" s="50">
        <v>4066.84</v>
      </c>
      <c r="C22" s="19">
        <v>21255.360000000001</v>
      </c>
      <c r="D22" s="19">
        <v>1592.05</v>
      </c>
      <c r="E22" s="19">
        <v>3035.81</v>
      </c>
      <c r="F22" s="19">
        <v>17676.27</v>
      </c>
      <c r="G22" s="19">
        <v>7577.16</v>
      </c>
      <c r="H22" s="19">
        <v>12926.08</v>
      </c>
      <c r="I22" s="19">
        <v>62910.14</v>
      </c>
      <c r="J22" s="19">
        <v>6264.1</v>
      </c>
      <c r="K22" s="19">
        <v>24846.06</v>
      </c>
      <c r="L22" s="19">
        <v>46290.239999999998</v>
      </c>
      <c r="M22" s="51">
        <v>10318.459999999999</v>
      </c>
      <c r="N22" s="60">
        <f t="shared" si="0"/>
        <v>218758.56999999998</v>
      </c>
      <c r="O22" s="19">
        <v>234870.69</v>
      </c>
      <c r="P22" s="22">
        <f t="shared" si="1"/>
        <v>-6.8599960258983517E-2</v>
      </c>
    </row>
    <row r="23" spans="1:16">
      <c r="A23" s="49" t="s">
        <v>32</v>
      </c>
      <c r="B23" s="50">
        <f>SUM('R 2002'!B19+'TRT 2002'!B23)</f>
        <v>3977.69</v>
      </c>
      <c r="C23" s="19">
        <f>SUM('R 2002'!C19+'TRT 2002'!C23)</f>
        <v>21758.66</v>
      </c>
      <c r="D23" s="19">
        <f>SUM('R 2002'!D19+'TRT 2002'!D23)</f>
        <v>3759.51</v>
      </c>
      <c r="E23" s="19">
        <f>SUM('R 2002'!E19+'TRT 2002'!E23)</f>
        <v>6389.79</v>
      </c>
      <c r="F23" s="19">
        <f>SUM('R 2002'!F19+'TRT 2002'!F23)</f>
        <v>16299.06</v>
      </c>
      <c r="G23" s="19">
        <f>SUM('R 2002'!G19+'TRT 2002'!G23)</f>
        <v>5184.0300000000007</v>
      </c>
      <c r="H23" s="19">
        <f>SUM('R 2002'!H19+'TRT 2002'!H23)</f>
        <v>5426.2099999999991</v>
      </c>
      <c r="I23" s="19">
        <f>SUM('R 2002'!I19+'TRT 2002'!I23)</f>
        <v>26149.21</v>
      </c>
      <c r="J23" s="19">
        <f>SUM('R 2002'!J19+'TRT 2002'!J23)</f>
        <v>2842.1</v>
      </c>
      <c r="K23" s="19">
        <f>SUM('R 2002'!K19+'TRT 2002'!K23)</f>
        <v>4158.1100000000006</v>
      </c>
      <c r="L23" s="19">
        <f>SUM('R 2002'!L19+'TRT 2002'!L23)</f>
        <v>26769.87</v>
      </c>
      <c r="M23" s="51">
        <f>SUM('R 2002'!M19+'TRT 2002'!M23)</f>
        <v>3619.4900000000002</v>
      </c>
      <c r="N23" s="60">
        <f t="shared" si="0"/>
        <v>126333.73000000001</v>
      </c>
      <c r="O23" s="19">
        <f>SUM('R 2002'!O19+'TRT 2002'!O23)</f>
        <v>132214.73000000001</v>
      </c>
      <c r="P23" s="22">
        <f t="shared" si="1"/>
        <v>-4.4480671707305186E-2</v>
      </c>
    </row>
    <row r="24" spans="1:16">
      <c r="A24" s="49" t="s">
        <v>33</v>
      </c>
      <c r="B24" s="50" t="e">
        <f>SUM('R 2002'!B20+#REF!+'TRT 2002'!B24)</f>
        <v>#REF!</v>
      </c>
      <c r="C24" s="19" t="e">
        <f>SUM('R 2002'!C20+#REF!+'TRT 2002'!C24)</f>
        <v>#REF!</v>
      </c>
      <c r="D24" s="19" t="e">
        <f>SUM('R 2002'!D20+#REF!+'TRT 2002'!D24)</f>
        <v>#REF!</v>
      </c>
      <c r="E24" s="19" t="e">
        <f>SUM('R 2002'!E20+#REF!+'TRT 2002'!E24)</f>
        <v>#REF!</v>
      </c>
      <c r="F24" s="19" t="e">
        <f>SUM('R 2002'!F20+#REF!+'TRT 2002'!F24)</f>
        <v>#REF!</v>
      </c>
      <c r="G24" s="19" t="e">
        <f>SUM('R 2002'!G20+#REF!+'TRT 2002'!G24)</f>
        <v>#REF!</v>
      </c>
      <c r="H24" s="19" t="e">
        <f>SUM('R 2002'!H20+#REF!+'TRT 2002'!H24)</f>
        <v>#REF!</v>
      </c>
      <c r="I24" s="19" t="e">
        <f>SUM('R 2002'!I20+#REF!+'TRT 2002'!I24)</f>
        <v>#REF!</v>
      </c>
      <c r="J24" s="19" t="e">
        <f>SUM('R 2002'!J20+#REF!+'TRT 2002'!J24)</f>
        <v>#REF!</v>
      </c>
      <c r="K24" s="19" t="e">
        <f>SUM('R 2002'!K20+#REF!+'TRT 2002'!K24)</f>
        <v>#REF!</v>
      </c>
      <c r="L24" s="19" t="e">
        <f>SUM('R 2002'!L20+#REF!+'TRT 2002'!L24)</f>
        <v>#REF!</v>
      </c>
      <c r="M24" s="51" t="e">
        <f>SUM('R 2002'!M20+#REF!+'TRT 2002'!M24)</f>
        <v>#REF!</v>
      </c>
      <c r="N24" s="60" t="e">
        <f t="shared" si="0"/>
        <v>#REF!</v>
      </c>
      <c r="O24" s="19" t="e">
        <f>SUM('R 2002'!O20+#REF!+'TRT 2002'!O24)</f>
        <v>#REF!</v>
      </c>
      <c r="P24" s="22" t="e">
        <f t="shared" si="1"/>
        <v>#REF!</v>
      </c>
    </row>
    <row r="25" spans="1:16">
      <c r="A25" s="49" t="s">
        <v>34</v>
      </c>
      <c r="B25" s="50">
        <f>SUM('R 2002'!B21+'TRT 2002'!B25)</f>
        <v>85479.86</v>
      </c>
      <c r="C25" s="19">
        <f>SUM('R 2002'!C21+'TRT 2002'!C25)</f>
        <v>493225.92</v>
      </c>
      <c r="D25" s="19">
        <f>SUM('R 2002'!D21+'TRT 2002'!D25)</f>
        <v>584573.79</v>
      </c>
      <c r="E25" s="19">
        <f>SUM('R 2002'!E21+'TRT 2002'!E25)</f>
        <v>1060277.3599999999</v>
      </c>
      <c r="F25" s="19">
        <f>SUM('R 2002'!F21+'TRT 2002'!F25)</f>
        <v>738634</v>
      </c>
      <c r="G25" s="19">
        <f>SUM('R 2002'!G21+'TRT 2002'!G25)</f>
        <v>392853.19</v>
      </c>
      <c r="H25" s="19">
        <f>SUM('R 2002'!H21+'TRT 2002'!H25)</f>
        <v>82363.13</v>
      </c>
      <c r="I25" s="19">
        <f>SUM('R 2002'!I21+'TRT 2002'!I25)</f>
        <v>205166.9</v>
      </c>
      <c r="J25" s="19">
        <f>SUM('R 2002'!J21+'TRT 2002'!J25)</f>
        <v>195090.71</v>
      </c>
      <c r="K25" s="19">
        <f>SUM('R 2002'!K21+'TRT 2002'!K25)</f>
        <v>176397.3</v>
      </c>
      <c r="L25" s="19">
        <f>SUM('R 2002'!L21+'TRT 2002'!L25)</f>
        <v>182447.97999999998</v>
      </c>
      <c r="M25" s="51">
        <f>SUM('R 2002'!M21+'TRT 2002'!M25)</f>
        <v>126927.29000000001</v>
      </c>
      <c r="N25" s="60">
        <f t="shared" si="0"/>
        <v>4323437.4299999988</v>
      </c>
      <c r="O25" s="19">
        <f>SUM('R 2002'!O21+'TRT 2002'!O25)</f>
        <v>4186704.8499999996</v>
      </c>
      <c r="P25" s="22">
        <f t="shared" si="1"/>
        <v>3.2658757877331412E-2</v>
      </c>
    </row>
    <row r="26" spans="1:16">
      <c r="A26" s="49" t="s">
        <v>35</v>
      </c>
      <c r="B26" s="50">
        <f>SUM('R 2002'!B22+'TRT 2002'!B26)</f>
        <v>13876.57</v>
      </c>
      <c r="C26" s="19">
        <f>SUM('R 2002'!C22+'TRT 2002'!C26)</f>
        <v>44844.75</v>
      </c>
      <c r="D26" s="19">
        <f>SUM('R 2002'!D22+'TRT 2002'!D26)</f>
        <v>13598.47</v>
      </c>
      <c r="E26" s="19">
        <f>SUM('R 2002'!E22+'TRT 2002'!E26)</f>
        <v>16081.649999999998</v>
      </c>
      <c r="F26" s="19">
        <f>SUM('R 2002'!F22+'TRT 2002'!F26)</f>
        <v>48720.460000000006</v>
      </c>
      <c r="G26" s="19">
        <f>SUM('R 2002'!G22+'TRT 2002'!G26)</f>
        <v>21641.559999999998</v>
      </c>
      <c r="H26" s="19">
        <f>SUM('R 2002'!H22+'TRT 2002'!H26)</f>
        <v>16570.16</v>
      </c>
      <c r="I26" s="19">
        <f>SUM('R 2002'!I22+'TRT 2002'!I26)</f>
        <v>58045.67</v>
      </c>
      <c r="J26" s="19">
        <f>SUM('R 2002'!J22+'TRT 2002'!J26)</f>
        <v>20252.18</v>
      </c>
      <c r="K26" s="19">
        <f>SUM('R 2002'!K22+'TRT 2002'!K26)</f>
        <v>19148.34</v>
      </c>
      <c r="L26" s="19">
        <f>SUM('R 2002'!L22+'TRT 2002'!L26)</f>
        <v>65526.71</v>
      </c>
      <c r="M26" s="51">
        <f>SUM('R 2002'!M22+'TRT 2002'!M26)</f>
        <v>19185.439999999999</v>
      </c>
      <c r="N26" s="60">
        <f t="shared" si="0"/>
        <v>357491.96</v>
      </c>
      <c r="O26" s="19">
        <f>SUM('R 2002'!O22+'TRT 2002'!O26)</f>
        <v>333592.78000000003</v>
      </c>
      <c r="P26" s="22">
        <f t="shared" si="1"/>
        <v>7.1641778338248141E-2</v>
      </c>
    </row>
    <row r="27" spans="1:16">
      <c r="A27" s="49" t="s">
        <v>36</v>
      </c>
      <c r="B27" s="50" t="e">
        <f>SUM('R 2002'!B23+#REF!+'TRT 2002'!B27)</f>
        <v>#REF!</v>
      </c>
      <c r="C27" s="19" t="e">
        <f>SUM('R 2002'!C23+#REF!+'TRT 2002'!C27)</f>
        <v>#REF!</v>
      </c>
      <c r="D27" s="19" t="e">
        <f>SUM('R 2002'!D23+#REF!+'TRT 2002'!D27)</f>
        <v>#REF!</v>
      </c>
      <c r="E27" s="19" t="e">
        <f>SUM('R 2002'!E23+#REF!+'TRT 2002'!E27)</f>
        <v>#REF!</v>
      </c>
      <c r="F27" s="19" t="e">
        <f>SUM('R 2002'!F23+#REF!+'TRT 2002'!F27)</f>
        <v>#REF!</v>
      </c>
      <c r="G27" s="19" t="e">
        <f>SUM('R 2002'!G23+#REF!+'TRT 2002'!G27)</f>
        <v>#REF!</v>
      </c>
      <c r="H27" s="19" t="e">
        <f>SUM('R 2002'!H23+#REF!+'TRT 2002'!H27)</f>
        <v>#REF!</v>
      </c>
      <c r="I27" s="19" t="e">
        <f>SUM('R 2002'!I23+#REF!+'TRT 2002'!I27)</f>
        <v>#REF!</v>
      </c>
      <c r="J27" s="19" t="e">
        <f>SUM('R 2002'!J23+#REF!+'TRT 2002'!J27)</f>
        <v>#REF!</v>
      </c>
      <c r="K27" s="19" t="e">
        <f>SUM('R 2002'!K23+#REF!+'TRT 2002'!K27)</f>
        <v>#REF!</v>
      </c>
      <c r="L27" s="19" t="e">
        <f>SUM('R 2002'!L23+#REF!+'TRT 2002'!L27)</f>
        <v>#REF!</v>
      </c>
      <c r="M27" s="51" t="e">
        <f>SUM('R 2002'!M23+#REF!+'TRT 2002'!M27)</f>
        <v>#REF!</v>
      </c>
      <c r="N27" s="60" t="e">
        <f t="shared" si="0"/>
        <v>#REF!</v>
      </c>
      <c r="O27" s="19" t="e">
        <f>SUM('R 2002'!O23+#REF!+'TRT 2002'!O27)</f>
        <v>#REF!</v>
      </c>
      <c r="P27" s="22" t="e">
        <f t="shared" si="1"/>
        <v>#REF!</v>
      </c>
    </row>
    <row r="28" spans="1:16">
      <c r="A28" s="49" t="s">
        <v>37</v>
      </c>
      <c r="B28" s="50">
        <f>SUM('R 2002'!B24+'TRT 2002'!B28)</f>
        <v>254676.01</v>
      </c>
      <c r="C28" s="19">
        <f>SUM('R 2002'!C24+'TRT 2002'!C28)</f>
        <v>437479</v>
      </c>
      <c r="D28" s="19">
        <f>SUM('R 2002'!D24+'TRT 2002'!D28)</f>
        <v>199454.9</v>
      </c>
      <c r="E28" s="19">
        <f>SUM('R 2002'!E24+'TRT 2002'!E28)</f>
        <v>342601.31000000006</v>
      </c>
      <c r="F28" s="19">
        <f>SUM('R 2002'!F24+'TRT 2002'!F28)</f>
        <v>406415</v>
      </c>
      <c r="G28" s="19">
        <f>SUM('R 2002'!G24+'TRT 2002'!G28)</f>
        <v>279154.90999999997</v>
      </c>
      <c r="H28" s="19">
        <f>SUM('R 2002'!H24+'TRT 2002'!H28)</f>
        <v>276346.01</v>
      </c>
      <c r="I28" s="19">
        <f>SUM('R 2002'!I24+'TRT 2002'!I28)</f>
        <v>469657.39999999997</v>
      </c>
      <c r="J28" s="19">
        <f>SUM('R 2002'!J24+'TRT 2002'!J28)</f>
        <v>274966.58</v>
      </c>
      <c r="K28" s="19">
        <f>SUM('R 2002'!K24+'TRT 2002'!K28)</f>
        <v>305327.43</v>
      </c>
      <c r="L28" s="19">
        <f>SUM('R 2002'!L24+'TRT 2002'!L28)</f>
        <v>428463.12</v>
      </c>
      <c r="M28" s="51">
        <f>SUM('R 2002'!M24+'TRT 2002'!M28)</f>
        <v>265885.63</v>
      </c>
      <c r="N28" s="60">
        <f t="shared" si="0"/>
        <v>3940427.3000000003</v>
      </c>
      <c r="O28" s="19">
        <f>SUM('R 2002'!O24+'TRT 2002'!O28)</f>
        <v>3775265.8</v>
      </c>
      <c r="P28" s="22">
        <f t="shared" si="1"/>
        <v>4.3748310383867617E-2</v>
      </c>
    </row>
    <row r="29" spans="1:16">
      <c r="A29" s="49" t="s">
        <v>38</v>
      </c>
      <c r="B29" s="50">
        <f>SUM('R 2002'!B25+'TRT 2002'!B29)</f>
        <v>15350.310000000001</v>
      </c>
      <c r="C29" s="19">
        <f>SUM('R 2002'!C25+'TRT 2002'!C29)</f>
        <v>39704.089999999997</v>
      </c>
      <c r="D29" s="19">
        <f>SUM('R 2002'!D25+'TRT 2002'!D29)</f>
        <v>22519.21</v>
      </c>
      <c r="E29" s="19">
        <f>SUM('R 2002'!E25+'TRT 2002'!E29)</f>
        <v>69236.740000000005</v>
      </c>
      <c r="F29" s="19">
        <f>SUM('R 2002'!F25+'TRT 2002'!F29)</f>
        <v>47451.41</v>
      </c>
      <c r="G29" s="19">
        <f>SUM('R 2002'!G25+'TRT 2002'!G29)</f>
        <v>17402.059999999998</v>
      </c>
      <c r="H29" s="19">
        <f>SUM('R 2002'!H25+'TRT 2002'!H29)</f>
        <v>20655.36</v>
      </c>
      <c r="I29" s="19">
        <f>SUM('R 2002'!I25+'TRT 2002'!I29)</f>
        <v>61426.479999999996</v>
      </c>
      <c r="J29" s="19">
        <f>SUM('R 2002'!J25+'TRT 2002'!J29)</f>
        <v>30075.33</v>
      </c>
      <c r="K29" s="19">
        <f>SUM('R 2002'!K25+'TRT 2002'!K29)</f>
        <v>40050.61</v>
      </c>
      <c r="L29" s="19">
        <f>SUM('R 2002'!L25+'TRT 2002'!L29)</f>
        <v>57440.31</v>
      </c>
      <c r="M29" s="51">
        <f>SUM('R 2002'!M25+'TRT 2002'!M29)</f>
        <v>23483.53</v>
      </c>
      <c r="N29" s="60">
        <f>SUM(B29:M29)</f>
        <v>444795.43999999994</v>
      </c>
      <c r="O29" s="19">
        <f>SUM('R 2002'!O25+'TRT 2002'!O29)</f>
        <v>411769.92000000004</v>
      </c>
      <c r="P29" s="22">
        <f t="shared" si="1"/>
        <v>8.0203818676215732E-2</v>
      </c>
    </row>
    <row r="30" spans="1:16">
      <c r="A30" s="49" t="s">
        <v>39</v>
      </c>
      <c r="B30" s="50" t="e">
        <f>SUM('R 2002'!B26+#REF!+'TRT 2002'!B30)</f>
        <v>#REF!</v>
      </c>
      <c r="C30" s="19" t="e">
        <f>SUM('R 2002'!C26+#REF!+'TRT 2002'!C30)</f>
        <v>#REF!</v>
      </c>
      <c r="D30" s="19" t="e">
        <f>SUM('R 2002'!D26+#REF!+'TRT 2002'!D30)</f>
        <v>#REF!</v>
      </c>
      <c r="E30" s="19" t="e">
        <f>SUM('R 2002'!E26+#REF!+'TRT 2002'!E30)</f>
        <v>#REF!</v>
      </c>
      <c r="F30" s="19" t="e">
        <f>SUM('R 2002'!F26+#REF!+'TRT 2002'!F30)</f>
        <v>#REF!</v>
      </c>
      <c r="G30" s="19" t="e">
        <f>SUM('R 2002'!G26+#REF!+'TRT 2002'!G30)</f>
        <v>#REF!</v>
      </c>
      <c r="H30" s="19" t="e">
        <f>SUM('R 2002'!H26+#REF!+'TRT 2002'!H30)</f>
        <v>#REF!</v>
      </c>
      <c r="I30" s="19" t="e">
        <f>SUM('R 2002'!I26+#REF!+'TRT 2002'!I30)</f>
        <v>#REF!</v>
      </c>
      <c r="J30" s="19" t="e">
        <f>SUM('R 2002'!J26+#REF!+'TRT 2002'!J30)</f>
        <v>#REF!</v>
      </c>
      <c r="K30" s="19" t="e">
        <f>SUM('R 2002'!K26+#REF!+'TRT 2002'!K30)</f>
        <v>#REF!</v>
      </c>
      <c r="L30" s="19" t="e">
        <f>SUM('R 2002'!L26+#REF!+'TRT 2002'!L30)</f>
        <v>#REF!</v>
      </c>
      <c r="M30" s="51" t="e">
        <f>SUM('R 2002'!M26+#REF!+'TRT 2002'!M30)</f>
        <v>#REF!</v>
      </c>
      <c r="N30" s="60" t="e">
        <f t="shared" si="0"/>
        <v>#REF!</v>
      </c>
      <c r="O30" s="19" t="e">
        <f>SUM('R 2002'!O26+#REF!+'TRT 2002'!O30)</f>
        <v>#REF!</v>
      </c>
      <c r="P30" s="22" t="e">
        <f t="shared" si="1"/>
        <v>#REF!</v>
      </c>
    </row>
    <row r="31" spans="1:16">
      <c r="A31" s="49" t="s">
        <v>40</v>
      </c>
      <c r="B31" s="50">
        <f>SUM('R 2002'!B27+'TRT 2002'!B31)</f>
        <v>1255.1300000000001</v>
      </c>
      <c r="C31" s="19">
        <f>SUM('R 2002'!C27+'TRT 2002'!C31)</f>
        <v>16625.93</v>
      </c>
      <c r="D31" s="19">
        <f>SUM('R 2002'!D27+'TRT 2002'!D31)</f>
        <v>451.28000000000003</v>
      </c>
      <c r="E31" s="19">
        <f>SUM('R 2002'!E27+'TRT 2002'!E31)</f>
        <v>1097.96</v>
      </c>
      <c r="F31" s="19">
        <f>SUM('R 2002'!F27+'TRT 2002'!F31)</f>
        <v>8507.67</v>
      </c>
      <c r="G31" s="19">
        <f>SUM('R 2002'!G27+'TRT 2002'!G31)</f>
        <v>1938.07</v>
      </c>
      <c r="H31" s="19">
        <f>SUM('R 2002'!H27+'TRT 2002'!H31)</f>
        <v>4027.14</v>
      </c>
      <c r="I31" s="19">
        <f>SUM('R 2002'!I27+'TRT 2002'!I31)</f>
        <v>34663.550000000003</v>
      </c>
      <c r="J31" s="19">
        <f>SUM('R 2002'!J27+'TRT 2002'!J31)</f>
        <v>2293.8900000000003</v>
      </c>
      <c r="K31" s="19">
        <f>SUM('R 2002'!K27+'TRT 2002'!K31)</f>
        <v>4702.08</v>
      </c>
      <c r="L31" s="19">
        <f>SUM('R 2002'!L27+'TRT 2002'!L31)</f>
        <v>40371.26</v>
      </c>
      <c r="M31" s="51">
        <f>SUM('R 2002'!M27+'TRT 2002'!M31)</f>
        <v>2714.37</v>
      </c>
      <c r="N31" s="60">
        <f t="shared" si="0"/>
        <v>118648.33000000002</v>
      </c>
      <c r="O31" s="19">
        <f>SUM('R 2002'!O27+'TRT 2002'!O31)</f>
        <v>115798.62</v>
      </c>
      <c r="P31" s="22">
        <f t="shared" si="1"/>
        <v>2.4609187916056596E-2</v>
      </c>
    </row>
    <row r="32" spans="1:16" ht="13" thickBot="1">
      <c r="A32" s="53" t="s">
        <v>41</v>
      </c>
      <c r="B32" s="54" t="e">
        <f>SUM('R 2002'!B28+#REF!+'TRT 2002'!B32)</f>
        <v>#REF!</v>
      </c>
      <c r="C32" s="20" t="e">
        <f>SUM('R 2002'!C28+#REF!+'TRT 2002'!C32)</f>
        <v>#REF!</v>
      </c>
      <c r="D32" s="20" t="e">
        <f>SUM('R 2002'!D28+#REF!+'TRT 2002'!D32)</f>
        <v>#REF!</v>
      </c>
      <c r="E32" s="20" t="e">
        <f>SUM('R 2002'!E28+#REF!+'TRT 2002'!E32)</f>
        <v>#REF!</v>
      </c>
      <c r="F32" s="20" t="e">
        <f>SUM('R 2002'!F28+#REF!+'TRT 2002'!F32)</f>
        <v>#REF!</v>
      </c>
      <c r="G32" s="20" t="e">
        <f>SUM('R 2002'!G28+#REF!+'TRT 2002'!G32)</f>
        <v>#REF!</v>
      </c>
      <c r="H32" s="20" t="e">
        <f>SUM('R 2002'!H28+#REF!+'TRT 2002'!H32)</f>
        <v>#REF!</v>
      </c>
      <c r="I32" s="20" t="e">
        <f>SUM('R 2002'!I28+#REF!+'TRT 2002'!I32)</f>
        <v>#REF!</v>
      </c>
      <c r="J32" s="20" t="e">
        <f>SUM('R 2002'!J28+#REF!+'TRT 2002'!J32)</f>
        <v>#REF!</v>
      </c>
      <c r="K32" s="20" t="e">
        <f>SUM('R 2002'!K28+#REF!+'TRT 2002'!K32)</f>
        <v>#REF!</v>
      </c>
      <c r="L32" s="20" t="e">
        <f>SUM('R 2002'!L28+#REF!+'TRT 2002'!L32)</f>
        <v>#REF!</v>
      </c>
      <c r="M32" s="55" t="e">
        <f>SUM('R 2002'!M28+#REF!+'TRT 2002'!M32)</f>
        <v>#REF!</v>
      </c>
      <c r="N32" s="61" t="e">
        <f t="shared" si="0"/>
        <v>#REF!</v>
      </c>
      <c r="O32" s="20" t="e">
        <f>SUM('R 2002'!O28+#REF!+'TRT 2002'!O32)</f>
        <v>#REF!</v>
      </c>
      <c r="P32" s="21" t="e">
        <f>N32/O32-1</f>
        <v>#REF!</v>
      </c>
    </row>
    <row r="33" spans="1:16" ht="14" thickTop="1" thickBot="1">
      <c r="A33" s="56" t="s">
        <v>54</v>
      </c>
      <c r="B33" s="57" t="e">
        <f>SUM(B4:B32)</f>
        <v>#REF!</v>
      </c>
      <c r="C33" s="58" t="e">
        <f t="shared" ref="C33:L33" si="2">SUM(C4:C32)</f>
        <v>#REF!</v>
      </c>
      <c r="D33" s="58" t="e">
        <f t="shared" si="2"/>
        <v>#REF!</v>
      </c>
      <c r="E33" s="58" t="e">
        <f t="shared" si="2"/>
        <v>#REF!</v>
      </c>
      <c r="F33" s="58" t="e">
        <f t="shared" si="2"/>
        <v>#REF!</v>
      </c>
      <c r="G33" s="58" t="e">
        <f t="shared" si="2"/>
        <v>#REF!</v>
      </c>
      <c r="H33" s="58" t="e">
        <f t="shared" si="2"/>
        <v>#REF!</v>
      </c>
      <c r="I33" s="58" t="e">
        <f t="shared" si="2"/>
        <v>#REF!</v>
      </c>
      <c r="J33" s="58" t="e">
        <f t="shared" si="2"/>
        <v>#REF!</v>
      </c>
      <c r="K33" s="58" t="e">
        <f t="shared" si="2"/>
        <v>#REF!</v>
      </c>
      <c r="L33" s="58" t="e">
        <f t="shared" si="2"/>
        <v>#REF!</v>
      </c>
      <c r="M33" s="59" t="e">
        <f>SUM(M4:M32)</f>
        <v>#REF!</v>
      </c>
      <c r="N33" s="62" t="e">
        <f t="shared" si="0"/>
        <v>#REF!</v>
      </c>
      <c r="O33" s="63" t="e">
        <f>SUM(O4:O32)</f>
        <v>#REF!</v>
      </c>
      <c r="P33" s="64" t="e">
        <f>N33/O33-1</f>
        <v>#REF!</v>
      </c>
    </row>
  </sheetData>
  <mergeCells count="1">
    <mergeCell ref="A1:P1"/>
  </mergeCells>
  <phoneticPr fontId="0" type="noConversion"/>
  <pageMargins left="0.5" right="0.5" top="0.75" bottom="0.75" header="0.5" footer="0.5"/>
  <pageSetup scale="8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3" enableFormatConditionsCalculation="0">
    <tabColor rgb="FFFF0000"/>
    <pageSetUpPr fitToPage="1"/>
  </sheetPr>
  <dimension ref="A1:R55"/>
  <sheetViews>
    <sheetView zoomScale="150" zoomScaleNormal="150" zoomScalePageLayoutView="150" workbookViewId="0">
      <pane ySplit="3" topLeftCell="A4" activePane="bottomLeft" state="frozen"/>
      <selection pane="bottomLeft" activeCell="P11" sqref="P11"/>
    </sheetView>
  </sheetViews>
  <sheetFormatPr baseColWidth="10" defaultColWidth="9.1640625" defaultRowHeight="10" x14ac:dyDescent="0"/>
  <cols>
    <col min="1" max="1" width="13.83203125" style="394" customWidth="1"/>
    <col min="2" max="2" width="11.5" style="394" bestFit="1" customWidth="1"/>
    <col min="3" max="3" width="7.5" style="394" bestFit="1" customWidth="1"/>
    <col min="4" max="14" width="8.6640625" style="394" bestFit="1" customWidth="1"/>
    <col min="15" max="16" width="9.5" style="394" bestFit="1" customWidth="1"/>
    <col min="17" max="17" width="8.6640625" style="394" bestFit="1" customWidth="1"/>
    <col min="18" max="16384" width="9.1640625" style="394"/>
  </cols>
  <sheetData>
    <row r="1" spans="1:18" ht="17">
      <c r="A1" s="692" t="s">
        <v>360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</row>
    <row r="2" spans="1:18" ht="11" thickBot="1">
      <c r="A2" s="383"/>
      <c r="B2" s="384"/>
    </row>
    <row r="3" spans="1:18" ht="11" thickBot="1">
      <c r="A3" s="385" t="s">
        <v>310</v>
      </c>
      <c r="B3" s="385" t="s">
        <v>311</v>
      </c>
      <c r="C3" s="385">
        <v>42736</v>
      </c>
      <c r="D3" s="385">
        <v>42767</v>
      </c>
      <c r="E3" s="385">
        <v>42795</v>
      </c>
      <c r="F3" s="385">
        <v>42826</v>
      </c>
      <c r="G3" s="385">
        <v>42856</v>
      </c>
      <c r="H3" s="385">
        <v>42887</v>
      </c>
      <c r="I3" s="385">
        <v>42917</v>
      </c>
      <c r="J3" s="385">
        <v>42948</v>
      </c>
      <c r="K3" s="385">
        <v>42979</v>
      </c>
      <c r="L3" s="385">
        <v>43009</v>
      </c>
      <c r="M3" s="385">
        <v>43040</v>
      </c>
      <c r="N3" s="385">
        <v>43070</v>
      </c>
      <c r="O3" s="393" t="s">
        <v>359</v>
      </c>
      <c r="P3" s="391" t="s">
        <v>349</v>
      </c>
      <c r="Q3" s="392" t="s">
        <v>265</v>
      </c>
      <c r="R3" s="622" t="s">
        <v>347</v>
      </c>
    </row>
    <row r="4" spans="1:18">
      <c r="A4" s="421" t="s">
        <v>165</v>
      </c>
      <c r="B4" s="422">
        <v>6000</v>
      </c>
      <c r="C4" s="423">
        <f>C33+C45</f>
        <v>29476.240000000002</v>
      </c>
      <c r="D4" s="423">
        <f t="shared" ref="D4:N4" si="0">D33+D45</f>
        <v>35308.21</v>
      </c>
      <c r="E4" s="423">
        <f t="shared" si="0"/>
        <v>47405.78</v>
      </c>
      <c r="F4" s="423">
        <f>F33+F45</f>
        <v>48169.219999999994</v>
      </c>
      <c r="G4" s="423">
        <f t="shared" si="0"/>
        <v>60549.3</v>
      </c>
      <c r="H4" s="423">
        <f t="shared" si="0"/>
        <v>34672.15</v>
      </c>
      <c r="I4" s="423">
        <f t="shared" si="0"/>
        <v>44339.72</v>
      </c>
      <c r="J4" s="423">
        <f t="shared" si="0"/>
        <v>63959.39</v>
      </c>
      <c r="K4" s="423">
        <f t="shared" si="0"/>
        <v>63491.259999999995</v>
      </c>
      <c r="L4" s="423">
        <f t="shared" si="0"/>
        <v>0</v>
      </c>
      <c r="M4" s="423">
        <f t="shared" si="0"/>
        <v>0</v>
      </c>
      <c r="N4" s="423">
        <f t="shared" si="0"/>
        <v>0</v>
      </c>
      <c r="O4" s="386">
        <f t="shared" ref="O4:O13" si="1">SUM(C4:N4)</f>
        <v>427371.27</v>
      </c>
      <c r="P4" s="388">
        <f>SUM('CR 2016'!C4:K4)</f>
        <v>425567.27</v>
      </c>
      <c r="Q4" s="638">
        <f t="shared" ref="Q4:Q13" si="2">O4/P4-1</f>
        <v>4.2390478008329513E-3</v>
      </c>
      <c r="R4" s="623">
        <f>O4/$O$14</f>
        <v>3.4055283109053543E-2</v>
      </c>
    </row>
    <row r="5" spans="1:18">
      <c r="A5" s="421" t="s">
        <v>173</v>
      </c>
      <c r="B5" s="422">
        <v>7000</v>
      </c>
      <c r="C5" s="423">
        <f t="shared" ref="C5:N13" si="3">C34+C46</f>
        <v>0</v>
      </c>
      <c r="D5" s="423">
        <f t="shared" si="3"/>
        <v>0</v>
      </c>
      <c r="E5" s="423">
        <f t="shared" si="3"/>
        <v>0</v>
      </c>
      <c r="F5" s="423">
        <f t="shared" si="3"/>
        <v>0</v>
      </c>
      <c r="G5" s="423">
        <f t="shared" si="3"/>
        <v>193.66</v>
      </c>
      <c r="H5" s="423">
        <f t="shared" si="3"/>
        <v>0</v>
      </c>
      <c r="I5" s="423">
        <f t="shared" si="3"/>
        <v>0</v>
      </c>
      <c r="J5" s="423">
        <f t="shared" si="3"/>
        <v>40.57</v>
      </c>
      <c r="K5" s="423">
        <f t="shared" si="3"/>
        <v>0</v>
      </c>
      <c r="L5" s="423">
        <f t="shared" si="3"/>
        <v>0</v>
      </c>
      <c r="M5" s="423">
        <f t="shared" si="3"/>
        <v>0</v>
      </c>
      <c r="N5" s="423">
        <f t="shared" si="3"/>
        <v>0</v>
      </c>
      <c r="O5" s="386">
        <f t="shared" si="1"/>
        <v>234.23</v>
      </c>
      <c r="P5" s="388">
        <f>SUM('CR 2016'!C5:K5)</f>
        <v>0</v>
      </c>
      <c r="Q5" s="638" t="e">
        <f t="shared" si="2"/>
        <v>#DIV/0!</v>
      </c>
      <c r="R5" s="623">
        <f t="shared" ref="R5:R14" si="4">O5/$O$14</f>
        <v>1.8664729060129873E-5</v>
      </c>
    </row>
    <row r="6" spans="1:18">
      <c r="A6" s="421" t="s">
        <v>179</v>
      </c>
      <c r="B6" s="422">
        <v>10000</v>
      </c>
      <c r="C6" s="423">
        <f t="shared" si="3"/>
        <v>4643.43</v>
      </c>
      <c r="D6" s="423">
        <f t="shared" si="3"/>
        <v>6092.19</v>
      </c>
      <c r="E6" s="423">
        <f t="shared" si="3"/>
        <v>1658.03</v>
      </c>
      <c r="F6" s="423">
        <f t="shared" si="3"/>
        <v>3922.89</v>
      </c>
      <c r="G6" s="423">
        <f t="shared" si="3"/>
        <v>15671.66</v>
      </c>
      <c r="H6" s="423">
        <f t="shared" si="3"/>
        <v>14182.61</v>
      </c>
      <c r="I6" s="423">
        <f t="shared" si="3"/>
        <v>12938.64</v>
      </c>
      <c r="J6" s="423">
        <f t="shared" si="3"/>
        <v>28756.52</v>
      </c>
      <c r="K6" s="423">
        <f t="shared" si="3"/>
        <v>14832.36</v>
      </c>
      <c r="L6" s="423">
        <f t="shared" si="3"/>
        <v>0</v>
      </c>
      <c r="M6" s="423">
        <f t="shared" si="3"/>
        <v>0</v>
      </c>
      <c r="N6" s="423">
        <f t="shared" si="3"/>
        <v>0</v>
      </c>
      <c r="O6" s="386">
        <f t="shared" si="1"/>
        <v>102698.33</v>
      </c>
      <c r="P6" s="388">
        <f>SUM('CR 2016'!C6:K6)</f>
        <v>84947.839999999997</v>
      </c>
      <c r="Q6" s="638">
        <f t="shared" si="2"/>
        <v>0.20895752028538928</v>
      </c>
      <c r="R6" s="623">
        <f t="shared" si="4"/>
        <v>8.1835653177552304E-3</v>
      </c>
    </row>
    <row r="7" spans="1:18">
      <c r="A7" s="421" t="s">
        <v>192</v>
      </c>
      <c r="B7" s="422">
        <v>15000</v>
      </c>
      <c r="C7" s="423">
        <f t="shared" si="3"/>
        <v>656.22</v>
      </c>
      <c r="D7" s="423">
        <f t="shared" si="3"/>
        <v>862.92</v>
      </c>
      <c r="E7" s="423">
        <f t="shared" si="3"/>
        <v>1227.73</v>
      </c>
      <c r="F7" s="423">
        <f t="shared" si="3"/>
        <v>1175.1500000000001</v>
      </c>
      <c r="G7" s="423">
        <f t="shared" si="3"/>
        <v>1507.22</v>
      </c>
      <c r="H7" s="423">
        <f t="shared" si="3"/>
        <v>743.88</v>
      </c>
      <c r="I7" s="423">
        <f t="shared" si="3"/>
        <v>851.2</v>
      </c>
      <c r="J7" s="423">
        <f t="shared" si="3"/>
        <v>1289.72</v>
      </c>
      <c r="K7" s="423">
        <f t="shared" si="3"/>
        <v>1527.61</v>
      </c>
      <c r="L7" s="423">
        <f t="shared" si="3"/>
        <v>0</v>
      </c>
      <c r="M7" s="423">
        <f t="shared" si="3"/>
        <v>0</v>
      </c>
      <c r="N7" s="423">
        <f t="shared" si="3"/>
        <v>0</v>
      </c>
      <c r="O7" s="386">
        <f t="shared" si="1"/>
        <v>9841.65</v>
      </c>
      <c r="P7" s="388">
        <f>SUM('CR 2016'!C7:K7)</f>
        <v>8816.48</v>
      </c>
      <c r="Q7" s="638">
        <f t="shared" si="2"/>
        <v>0.11627883236847358</v>
      </c>
      <c r="R7" s="623">
        <f t="shared" si="4"/>
        <v>7.8423656557497835E-4</v>
      </c>
    </row>
    <row r="8" spans="1:18">
      <c r="A8" s="421" t="s">
        <v>195</v>
      </c>
      <c r="B8" s="422">
        <v>18000</v>
      </c>
      <c r="C8" s="423">
        <f t="shared" si="3"/>
        <v>687101.97</v>
      </c>
      <c r="D8" s="423">
        <f t="shared" si="3"/>
        <v>934945.95</v>
      </c>
      <c r="E8" s="423">
        <f t="shared" si="3"/>
        <v>1364940.4700000002</v>
      </c>
      <c r="F8" s="423">
        <f t="shared" si="3"/>
        <v>1303313.5699999998</v>
      </c>
      <c r="G8" s="423">
        <f t="shared" si="3"/>
        <v>1554523.6</v>
      </c>
      <c r="H8" s="423">
        <f t="shared" si="3"/>
        <v>768324.21</v>
      </c>
      <c r="I8" s="423">
        <f t="shared" si="3"/>
        <v>878617.91</v>
      </c>
      <c r="J8" s="423">
        <f t="shared" si="3"/>
        <v>1304185.94</v>
      </c>
      <c r="K8" s="423">
        <f t="shared" si="3"/>
        <v>1603711.6600000001</v>
      </c>
      <c r="L8" s="423">
        <f t="shared" si="3"/>
        <v>0</v>
      </c>
      <c r="M8" s="423">
        <f t="shared" si="3"/>
        <v>0</v>
      </c>
      <c r="N8" s="423">
        <f t="shared" si="3"/>
        <v>0</v>
      </c>
      <c r="O8" s="386">
        <f t="shared" si="1"/>
        <v>10399665.280000001</v>
      </c>
      <c r="P8" s="388">
        <f>SUM('CR 2016'!C8:K8)</f>
        <v>9616748.6000000015</v>
      </c>
      <c r="Q8" s="638">
        <f t="shared" si="2"/>
        <v>8.1411786099929717E-2</v>
      </c>
      <c r="R8" s="623">
        <f t="shared" si="4"/>
        <v>0.82870227881671743</v>
      </c>
    </row>
    <row r="9" spans="1:18">
      <c r="A9" s="421" t="s">
        <v>211</v>
      </c>
      <c r="B9" s="422">
        <v>21000</v>
      </c>
      <c r="C9" s="423">
        <f t="shared" si="3"/>
        <v>1286.8400000000001</v>
      </c>
      <c r="D9" s="423">
        <f t="shared" si="3"/>
        <v>1693.1799999999998</v>
      </c>
      <c r="E9" s="423">
        <f t="shared" si="3"/>
        <v>2392.6999999999998</v>
      </c>
      <c r="F9" s="423">
        <f t="shared" si="3"/>
        <v>2735.9700000000003</v>
      </c>
      <c r="G9" s="423">
        <f t="shared" si="3"/>
        <v>3399.78</v>
      </c>
      <c r="H9" s="423">
        <f t="shared" si="3"/>
        <v>2579.35</v>
      </c>
      <c r="I9" s="423">
        <f t="shared" si="3"/>
        <v>2363.54</v>
      </c>
      <c r="J9" s="423">
        <f t="shared" si="3"/>
        <v>4033.12</v>
      </c>
      <c r="K9" s="423">
        <f t="shared" si="3"/>
        <v>3686.1299999999997</v>
      </c>
      <c r="L9" s="423">
        <f t="shared" si="3"/>
        <v>0</v>
      </c>
      <c r="M9" s="423">
        <f t="shared" si="3"/>
        <v>0</v>
      </c>
      <c r="N9" s="423">
        <f t="shared" si="3"/>
        <v>0</v>
      </c>
      <c r="O9" s="386">
        <f t="shared" si="1"/>
        <v>24170.61</v>
      </c>
      <c r="P9" s="388">
        <f>SUM('CR 2016'!C9:K9)</f>
        <v>18753.739999999998</v>
      </c>
      <c r="Q9" s="638">
        <f t="shared" si="2"/>
        <v>0.28884211895867185</v>
      </c>
      <c r="R9" s="623">
        <f t="shared" si="4"/>
        <v>1.9260465647784903E-3</v>
      </c>
    </row>
    <row r="10" spans="1:18">
      <c r="A10" s="421" t="s">
        <v>217</v>
      </c>
      <c r="B10" s="422">
        <v>24000</v>
      </c>
      <c r="C10" s="423">
        <f t="shared" si="3"/>
        <v>560.49</v>
      </c>
      <c r="D10" s="423">
        <f t="shared" si="3"/>
        <v>765.79</v>
      </c>
      <c r="E10" s="423">
        <f t="shared" si="3"/>
        <v>536.39</v>
      </c>
      <c r="F10" s="423">
        <f t="shared" si="3"/>
        <v>364.58</v>
      </c>
      <c r="G10" s="423">
        <f t="shared" si="3"/>
        <v>839.58</v>
      </c>
      <c r="H10" s="423">
        <f t="shared" si="3"/>
        <v>556.07000000000005</v>
      </c>
      <c r="I10" s="423">
        <f t="shared" si="3"/>
        <v>826.5</v>
      </c>
      <c r="J10" s="423">
        <f t="shared" si="3"/>
        <v>1054.54</v>
      </c>
      <c r="K10" s="423">
        <f t="shared" si="3"/>
        <v>1038.3399999999999</v>
      </c>
      <c r="L10" s="423">
        <f t="shared" si="3"/>
        <v>0</v>
      </c>
      <c r="M10" s="423">
        <f t="shared" si="3"/>
        <v>0</v>
      </c>
      <c r="N10" s="423">
        <f t="shared" si="3"/>
        <v>0</v>
      </c>
      <c r="O10" s="386">
        <f t="shared" si="1"/>
        <v>6542.28</v>
      </c>
      <c r="P10" s="388">
        <f>SUM('CR 2016'!C10:K10)</f>
        <v>4804.5099999999993</v>
      </c>
      <c r="Q10" s="638">
        <f t="shared" si="2"/>
        <v>0.3616955735340337</v>
      </c>
      <c r="R10" s="623">
        <f t="shared" si="4"/>
        <v>5.2132469639032777E-4</v>
      </c>
    </row>
    <row r="11" spans="1:18">
      <c r="A11" s="421" t="s">
        <v>221</v>
      </c>
      <c r="B11" s="422">
        <v>25000</v>
      </c>
      <c r="C11" s="423">
        <f t="shared" si="3"/>
        <v>63937.5</v>
      </c>
      <c r="D11" s="423">
        <f t="shared" si="3"/>
        <v>72450.22</v>
      </c>
      <c r="E11" s="423">
        <f t="shared" si="3"/>
        <v>92680.74</v>
      </c>
      <c r="F11" s="423">
        <f t="shared" si="3"/>
        <v>86335.21</v>
      </c>
      <c r="G11" s="423">
        <f t="shared" si="3"/>
        <v>109533.21</v>
      </c>
      <c r="H11" s="423">
        <f t="shared" si="3"/>
        <v>70870.09</v>
      </c>
      <c r="I11" s="423">
        <f t="shared" si="3"/>
        <v>78660.53</v>
      </c>
      <c r="J11" s="423">
        <f t="shared" si="3"/>
        <v>113321.26999999999</v>
      </c>
      <c r="K11" s="423">
        <f t="shared" si="3"/>
        <v>139251.16</v>
      </c>
      <c r="L11" s="423">
        <f t="shared" si="3"/>
        <v>0</v>
      </c>
      <c r="M11" s="423">
        <f t="shared" si="3"/>
        <v>0</v>
      </c>
      <c r="N11" s="423">
        <f t="shared" si="3"/>
        <v>0</v>
      </c>
      <c r="O11" s="386">
        <f t="shared" si="1"/>
        <v>827039.93000000017</v>
      </c>
      <c r="P11" s="388">
        <f>SUM('CR 2016'!C11:K11)</f>
        <v>777669.63</v>
      </c>
      <c r="Q11" s="638">
        <f t="shared" si="2"/>
        <v>6.3484927397769342E-2</v>
      </c>
      <c r="R11" s="623">
        <f t="shared" si="4"/>
        <v>6.5903070551845536E-2</v>
      </c>
    </row>
    <row r="12" spans="1:18">
      <c r="A12" s="421" t="s">
        <v>231</v>
      </c>
      <c r="B12" s="422">
        <v>27000</v>
      </c>
      <c r="C12" s="423">
        <f t="shared" si="3"/>
        <v>38201.61</v>
      </c>
      <c r="D12" s="423">
        <f t="shared" si="3"/>
        <v>36489.4</v>
      </c>
      <c r="E12" s="423">
        <f t="shared" si="3"/>
        <v>38523.1</v>
      </c>
      <c r="F12" s="423">
        <f t="shared" si="3"/>
        <v>37264.730000000003</v>
      </c>
      <c r="G12" s="423">
        <f t="shared" si="3"/>
        <v>51296.58</v>
      </c>
      <c r="H12" s="423">
        <f t="shared" si="3"/>
        <v>40219.19</v>
      </c>
      <c r="I12" s="423">
        <f t="shared" si="3"/>
        <v>45664.83</v>
      </c>
      <c r="J12" s="423">
        <f t="shared" si="3"/>
        <v>53780.82</v>
      </c>
      <c r="K12" s="423">
        <f t="shared" si="3"/>
        <v>58767.88</v>
      </c>
      <c r="L12" s="423">
        <f t="shared" si="3"/>
        <v>0</v>
      </c>
      <c r="M12" s="423">
        <f t="shared" si="3"/>
        <v>0</v>
      </c>
      <c r="N12" s="423">
        <f t="shared" si="3"/>
        <v>0</v>
      </c>
      <c r="O12" s="386">
        <f t="shared" si="1"/>
        <v>400208.14000000007</v>
      </c>
      <c r="P12" s="388">
        <f>SUM('CR 2016'!C12:K12)</f>
        <v>368357.55</v>
      </c>
      <c r="Q12" s="638">
        <f t="shared" si="2"/>
        <v>8.6466505165972762E-2</v>
      </c>
      <c r="R12" s="623">
        <f t="shared" si="4"/>
        <v>3.189077616342282E-2</v>
      </c>
    </row>
    <row r="13" spans="1:18" ht="11" thickBot="1">
      <c r="A13" s="421" t="s">
        <v>243</v>
      </c>
      <c r="B13" s="427">
        <v>29000</v>
      </c>
      <c r="C13" s="423">
        <f t="shared" si="3"/>
        <v>26866.68</v>
      </c>
      <c r="D13" s="423">
        <f t="shared" si="3"/>
        <v>32743.239999999998</v>
      </c>
      <c r="E13" s="423">
        <f t="shared" si="3"/>
        <v>38486.879999999997</v>
      </c>
      <c r="F13" s="423">
        <f t="shared" si="3"/>
        <v>38751.1</v>
      </c>
      <c r="G13" s="423">
        <f t="shared" si="3"/>
        <v>50568.4</v>
      </c>
      <c r="H13" s="423">
        <f t="shared" si="3"/>
        <v>29768.27</v>
      </c>
      <c r="I13" s="423">
        <f>I42+I54</f>
        <v>33321.449999999997</v>
      </c>
      <c r="J13" s="423">
        <f t="shared" si="3"/>
        <v>45877.24</v>
      </c>
      <c r="K13" s="423">
        <f t="shared" si="3"/>
        <v>55183.360000000001</v>
      </c>
      <c r="L13" s="423">
        <f t="shared" si="3"/>
        <v>0</v>
      </c>
      <c r="M13" s="423">
        <f t="shared" si="3"/>
        <v>0</v>
      </c>
      <c r="N13" s="423">
        <f t="shared" si="3"/>
        <v>0</v>
      </c>
      <c r="O13" s="387">
        <f t="shared" si="1"/>
        <v>351566.61999999994</v>
      </c>
      <c r="P13" s="388">
        <f>SUM('CR 2016'!C13:K13)</f>
        <v>322058.06</v>
      </c>
      <c r="Q13" s="643">
        <f t="shared" si="2"/>
        <v>9.162496973371792E-2</v>
      </c>
      <c r="R13" s="624">
        <f t="shared" si="4"/>
        <v>2.8014753485401681E-2</v>
      </c>
    </row>
    <row r="14" spans="1:18" ht="11" thickBot="1">
      <c r="A14" s="402" t="s">
        <v>312</v>
      </c>
      <c r="B14" s="402" t="s">
        <v>313</v>
      </c>
      <c r="C14" s="402">
        <f>SUM(C4:C13)</f>
        <v>852730.98</v>
      </c>
      <c r="D14" s="402">
        <f t="shared" ref="D14:N14" si="5">SUM(D4:D13)</f>
        <v>1121351.0999999999</v>
      </c>
      <c r="E14" s="402">
        <f t="shared" si="5"/>
        <v>1587851.82</v>
      </c>
      <c r="F14" s="402">
        <f t="shared" si="5"/>
        <v>1522032.42</v>
      </c>
      <c r="G14" s="402">
        <f t="shared" si="5"/>
        <v>1848082.9900000002</v>
      </c>
      <c r="H14" s="402">
        <f t="shared" si="5"/>
        <v>961915.81999999983</v>
      </c>
      <c r="I14" s="402">
        <f t="shared" si="5"/>
        <v>1097584.32</v>
      </c>
      <c r="J14" s="402">
        <f t="shared" si="5"/>
        <v>1616299.1300000001</v>
      </c>
      <c r="K14" s="402">
        <f t="shared" si="5"/>
        <v>1941489.76</v>
      </c>
      <c r="L14" s="402">
        <f t="shared" si="5"/>
        <v>0</v>
      </c>
      <c r="M14" s="402">
        <f t="shared" si="5"/>
        <v>0</v>
      </c>
      <c r="N14" s="402">
        <f t="shared" si="5"/>
        <v>0</v>
      </c>
      <c r="O14" s="406">
        <f>SUM(O4:O13)</f>
        <v>12549338.34</v>
      </c>
      <c r="P14" s="558">
        <f>SUM(P4:P13)</f>
        <v>11627723.680000003</v>
      </c>
      <c r="Q14" s="643">
        <f>O14/P14-1</f>
        <v>7.9260110178331677E-2</v>
      </c>
      <c r="R14" s="625">
        <f t="shared" si="4"/>
        <v>1</v>
      </c>
    </row>
    <row r="15" spans="1:18" ht="11" thickBot="1">
      <c r="A15" s="383" t="s">
        <v>312</v>
      </c>
      <c r="B15" s="383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</row>
    <row r="16" spans="1:18" ht="11" thickBot="1">
      <c r="A16" s="383" t="s">
        <v>312</v>
      </c>
      <c r="B16" s="582" t="s">
        <v>314</v>
      </c>
      <c r="C16" s="583">
        <f t="shared" ref="C16:N16" si="6">C14</f>
        <v>852730.98</v>
      </c>
      <c r="D16" s="583">
        <f t="shared" si="6"/>
        <v>1121351.0999999999</v>
      </c>
      <c r="E16" s="583">
        <f t="shared" si="6"/>
        <v>1587851.82</v>
      </c>
      <c r="F16" s="583">
        <f t="shared" si="6"/>
        <v>1522032.42</v>
      </c>
      <c r="G16" s="583">
        <f t="shared" si="6"/>
        <v>1848082.9900000002</v>
      </c>
      <c r="H16" s="583">
        <f t="shared" si="6"/>
        <v>961915.81999999983</v>
      </c>
      <c r="I16" s="583">
        <f t="shared" si="6"/>
        <v>1097584.32</v>
      </c>
      <c r="J16" s="583">
        <f t="shared" si="6"/>
        <v>1616299.1300000001</v>
      </c>
      <c r="K16" s="583">
        <f t="shared" si="6"/>
        <v>1941489.76</v>
      </c>
      <c r="L16" s="583">
        <f t="shared" si="6"/>
        <v>0</v>
      </c>
      <c r="M16" s="583">
        <f t="shared" si="6"/>
        <v>0</v>
      </c>
      <c r="N16" s="584">
        <f t="shared" si="6"/>
        <v>0</v>
      </c>
    </row>
    <row r="17" spans="1:15" ht="11" thickBot="1">
      <c r="A17" s="383" t="s">
        <v>312</v>
      </c>
      <c r="B17" s="585" t="s">
        <v>315</v>
      </c>
      <c r="C17" s="586">
        <f>'CR 2016'!C16</f>
        <v>819306.92</v>
      </c>
      <c r="D17" s="586">
        <f>'CR 2016'!D16</f>
        <v>1034043.2900000002</v>
      </c>
      <c r="E17" s="586">
        <f>'CR 2016'!E16</f>
        <v>1733729.71</v>
      </c>
      <c r="F17" s="586">
        <f>'CR 2016'!F16</f>
        <v>1156950.77</v>
      </c>
      <c r="G17" s="586">
        <f>'CR 2016'!G16</f>
        <v>1629647.8600000003</v>
      </c>
      <c r="H17" s="586">
        <f>'CR 2016'!H16</f>
        <v>1002975.01</v>
      </c>
      <c r="I17" s="586">
        <f>'CR 2016'!I16</f>
        <v>1029114.5199999999</v>
      </c>
      <c r="J17" s="586">
        <f>'CR 2016'!J16</f>
        <v>1482345.6400000001</v>
      </c>
      <c r="K17" s="586">
        <f>'CR 2016'!K16</f>
        <v>1739609.96</v>
      </c>
      <c r="L17" s="586">
        <f>'CR 2016'!L16</f>
        <v>1915741.7500000002</v>
      </c>
      <c r="M17" s="586">
        <f>'CR 2016'!M16</f>
        <v>1446250.5100000002</v>
      </c>
      <c r="N17" s="587">
        <f>'CR 2016'!N16</f>
        <v>1277898</v>
      </c>
      <c r="O17" s="396"/>
    </row>
    <row r="18" spans="1:15" ht="11" thickBot="1">
      <c r="A18" s="383" t="s">
        <v>312</v>
      </c>
      <c r="B18" s="416" t="s">
        <v>265</v>
      </c>
      <c r="C18" s="414">
        <f t="shared" ref="C18:N18" si="7">(C16/C17)-1</f>
        <v>4.0795529958418841E-2</v>
      </c>
      <c r="D18" s="414">
        <f t="shared" si="7"/>
        <v>8.4433418643429903E-2</v>
      </c>
      <c r="E18" s="414">
        <f t="shared" si="7"/>
        <v>-8.4141079868787605E-2</v>
      </c>
      <c r="F18" s="414">
        <f t="shared" si="7"/>
        <v>0.31555504302054271</v>
      </c>
      <c r="G18" s="414">
        <f t="shared" si="7"/>
        <v>0.13403823940222259</v>
      </c>
      <c r="H18" s="414">
        <f t="shared" si="7"/>
        <v>-4.0937400823177206E-2</v>
      </c>
      <c r="I18" s="414">
        <f t="shared" si="7"/>
        <v>6.6532731459274519E-2</v>
      </c>
      <c r="J18" s="414">
        <f t="shared" si="7"/>
        <v>9.0365894691065485E-2</v>
      </c>
      <c r="K18" s="414">
        <f t="shared" si="7"/>
        <v>0.11604888718848216</v>
      </c>
      <c r="L18" s="414">
        <f t="shared" si="7"/>
        <v>-1</v>
      </c>
      <c r="M18" s="414">
        <f t="shared" si="7"/>
        <v>-1</v>
      </c>
      <c r="N18" s="414">
        <f t="shared" si="7"/>
        <v>-1</v>
      </c>
    </row>
    <row r="19" spans="1:15" ht="11" thickBot="1"/>
    <row r="20" spans="1:15">
      <c r="A20" s="431" t="s">
        <v>316</v>
      </c>
      <c r="B20" s="432" t="s">
        <v>317</v>
      </c>
      <c r="C20" s="433" t="s">
        <v>318</v>
      </c>
      <c r="D20" s="434" t="s">
        <v>319</v>
      </c>
    </row>
    <row r="21" spans="1:15">
      <c r="A21" s="439" t="s">
        <v>165</v>
      </c>
      <c r="B21" s="440" t="s">
        <v>320</v>
      </c>
      <c r="C21" s="435">
        <v>0.03</v>
      </c>
      <c r="D21" s="436">
        <v>0.04</v>
      </c>
    </row>
    <row r="22" spans="1:15">
      <c r="A22" s="439" t="s">
        <v>173</v>
      </c>
      <c r="B22" s="440" t="s">
        <v>321</v>
      </c>
      <c r="C22" s="435">
        <v>0.03</v>
      </c>
      <c r="D22" s="436"/>
    </row>
    <row r="23" spans="1:15">
      <c r="A23" s="439" t="s">
        <v>179</v>
      </c>
      <c r="B23" s="440" t="s">
        <v>322</v>
      </c>
      <c r="C23" s="435">
        <v>0.03</v>
      </c>
      <c r="D23" s="436"/>
    </row>
    <row r="24" spans="1:15">
      <c r="A24" s="439" t="s">
        <v>192</v>
      </c>
      <c r="B24" s="440" t="s">
        <v>323</v>
      </c>
      <c r="C24" s="435">
        <v>0.03</v>
      </c>
      <c r="D24" s="436">
        <v>0.04</v>
      </c>
    </row>
    <row r="25" spans="1:15">
      <c r="A25" s="439" t="s">
        <v>195</v>
      </c>
      <c r="B25" s="440" t="s">
        <v>324</v>
      </c>
      <c r="C25" s="435">
        <v>0.03</v>
      </c>
      <c r="D25" s="436">
        <v>0.04</v>
      </c>
    </row>
    <row r="26" spans="1:15">
      <c r="A26" s="439" t="s">
        <v>211</v>
      </c>
      <c r="B26" s="440" t="s">
        <v>325</v>
      </c>
      <c r="C26" s="435">
        <v>0.03</v>
      </c>
      <c r="D26" s="436">
        <v>0.04</v>
      </c>
    </row>
    <row r="27" spans="1:15">
      <c r="A27" s="439" t="s">
        <v>217</v>
      </c>
      <c r="B27" s="440" t="s">
        <v>326</v>
      </c>
      <c r="C27" s="435">
        <v>0.03</v>
      </c>
      <c r="D27" s="436"/>
      <c r="I27" s="595"/>
    </row>
    <row r="28" spans="1:15">
      <c r="A28" s="439" t="s">
        <v>221</v>
      </c>
      <c r="B28" s="440" t="s">
        <v>327</v>
      </c>
      <c r="C28" s="435">
        <v>0.03</v>
      </c>
      <c r="D28" s="436">
        <v>0.04</v>
      </c>
    </row>
    <row r="29" spans="1:15">
      <c r="A29" s="439" t="s">
        <v>231</v>
      </c>
      <c r="B29" s="440" t="s">
        <v>328</v>
      </c>
      <c r="C29" s="435">
        <v>0.03</v>
      </c>
      <c r="D29" s="436">
        <v>0.04</v>
      </c>
    </row>
    <row r="30" spans="1:15" ht="11" thickBot="1">
      <c r="A30" s="441" t="s">
        <v>243</v>
      </c>
      <c r="B30" s="442" t="s">
        <v>329</v>
      </c>
      <c r="C30" s="437">
        <v>0.03</v>
      </c>
      <c r="D30" s="438">
        <v>0.04</v>
      </c>
    </row>
    <row r="31" spans="1:15" ht="11" thickBot="1"/>
    <row r="32" spans="1:15" ht="15" thickBot="1">
      <c r="A32" s="693" t="s">
        <v>332</v>
      </c>
      <c r="B32" s="694"/>
      <c r="C32" s="694"/>
      <c r="D32" s="694"/>
      <c r="E32" s="694"/>
      <c r="F32" s="694"/>
      <c r="G32" s="694"/>
      <c r="H32" s="694"/>
      <c r="I32" s="694"/>
      <c r="J32" s="694"/>
      <c r="K32" s="694"/>
      <c r="L32" s="694"/>
      <c r="M32" s="694"/>
      <c r="N32" s="695"/>
    </row>
    <row r="33" spans="1:15">
      <c r="A33" s="407" t="s">
        <v>165</v>
      </c>
      <c r="B33" s="377">
        <v>6000</v>
      </c>
      <c r="C33" s="514">
        <v>4938.1099999999997</v>
      </c>
      <c r="D33" s="514">
        <v>4707.6099999999997</v>
      </c>
      <c r="E33" s="514">
        <v>5234.33</v>
      </c>
      <c r="F33" s="514">
        <v>6455.2</v>
      </c>
      <c r="G33" s="514">
        <v>7642.23</v>
      </c>
      <c r="H33" s="514">
        <v>6418.74</v>
      </c>
      <c r="I33" s="514">
        <v>9758.01</v>
      </c>
      <c r="J33" s="514">
        <v>13117.91</v>
      </c>
      <c r="K33" s="514">
        <v>9455.99</v>
      </c>
      <c r="L33" s="514"/>
      <c r="M33" s="514"/>
      <c r="N33" s="516"/>
      <c r="O33" s="579"/>
    </row>
    <row r="34" spans="1:15">
      <c r="A34" s="408" t="s">
        <v>173</v>
      </c>
      <c r="B34" s="378">
        <v>7000</v>
      </c>
      <c r="C34" s="517">
        <v>0</v>
      </c>
      <c r="D34" s="517">
        <v>0</v>
      </c>
      <c r="E34" s="517">
        <v>0</v>
      </c>
      <c r="F34" s="517">
        <v>0</v>
      </c>
      <c r="G34" s="517">
        <v>193.66</v>
      </c>
      <c r="H34" s="517">
        <v>0</v>
      </c>
      <c r="I34" s="517">
        <v>0</v>
      </c>
      <c r="J34" s="517">
        <v>40.57</v>
      </c>
      <c r="K34" s="517">
        <v>0</v>
      </c>
      <c r="L34" s="517"/>
      <c r="M34" s="517"/>
      <c r="N34" s="519"/>
      <c r="O34" s="579"/>
    </row>
    <row r="35" spans="1:15">
      <c r="A35" s="408" t="s">
        <v>179</v>
      </c>
      <c r="B35" s="378">
        <v>10000</v>
      </c>
      <c r="C35" s="517">
        <v>4643.43</v>
      </c>
      <c r="D35" s="517">
        <v>6092.19</v>
      </c>
      <c r="E35" s="517">
        <v>1658.03</v>
      </c>
      <c r="F35" s="517">
        <v>3922.89</v>
      </c>
      <c r="G35" s="517">
        <v>15671.66</v>
      </c>
      <c r="H35" s="517">
        <v>14182.61</v>
      </c>
      <c r="I35" s="517">
        <v>12938.64</v>
      </c>
      <c r="J35" s="517">
        <v>28756.52</v>
      </c>
      <c r="K35" s="517">
        <v>14832.36</v>
      </c>
      <c r="L35" s="517"/>
      <c r="M35" s="517"/>
      <c r="N35" s="519"/>
      <c r="O35" s="579"/>
    </row>
    <row r="36" spans="1:15">
      <c r="A36" s="408" t="s">
        <v>192</v>
      </c>
      <c r="B36" s="378">
        <v>15000</v>
      </c>
      <c r="C36" s="517">
        <v>0</v>
      </c>
      <c r="D36" s="517">
        <v>0</v>
      </c>
      <c r="E36" s="517">
        <v>0</v>
      </c>
      <c r="F36" s="517">
        <v>0</v>
      </c>
      <c r="G36" s="517">
        <v>0</v>
      </c>
      <c r="H36" s="517">
        <v>0</v>
      </c>
      <c r="I36" s="517">
        <v>0</v>
      </c>
      <c r="J36" s="517">
        <v>0</v>
      </c>
      <c r="K36" s="517">
        <v>8.7799999999999994</v>
      </c>
      <c r="L36" s="517"/>
      <c r="M36" s="517"/>
      <c r="N36" s="519"/>
      <c r="O36" s="579"/>
    </row>
    <row r="37" spans="1:15">
      <c r="A37" s="408" t="s">
        <v>195</v>
      </c>
      <c r="B37" s="378">
        <v>18000</v>
      </c>
      <c r="C37" s="517">
        <v>321430.34999999998</v>
      </c>
      <c r="D37" s="517">
        <v>438926.03</v>
      </c>
      <c r="E37" s="517">
        <v>642453.67000000004</v>
      </c>
      <c r="F37" s="517">
        <v>613299.47</v>
      </c>
      <c r="G37" s="517">
        <v>736266.56</v>
      </c>
      <c r="H37" s="517">
        <v>359684.1</v>
      </c>
      <c r="I37" s="517">
        <v>411290.28</v>
      </c>
      <c r="J37" s="517">
        <v>614114.75</v>
      </c>
      <c r="K37" s="517">
        <v>752706.26</v>
      </c>
      <c r="L37" s="517"/>
      <c r="M37" s="517"/>
      <c r="N37" s="519"/>
      <c r="O37" s="579"/>
    </row>
    <row r="38" spans="1:15">
      <c r="A38" s="408" t="s">
        <v>211</v>
      </c>
      <c r="B38" s="378">
        <v>21000</v>
      </c>
      <c r="C38" s="517">
        <v>21.91</v>
      </c>
      <c r="D38" s="517">
        <v>29.33</v>
      </c>
      <c r="E38" s="517">
        <v>33.31</v>
      </c>
      <c r="F38" s="517">
        <v>262.44</v>
      </c>
      <c r="G38" s="517">
        <v>280.05</v>
      </c>
      <c r="H38" s="517">
        <v>618.66999999999996</v>
      </c>
      <c r="I38" s="517">
        <v>403.83</v>
      </c>
      <c r="J38" s="517">
        <v>845.64</v>
      </c>
      <c r="K38" s="517">
        <v>453.68</v>
      </c>
      <c r="L38" s="517"/>
      <c r="M38" s="517"/>
      <c r="N38" s="519"/>
      <c r="O38" s="579"/>
    </row>
    <row r="39" spans="1:15">
      <c r="A39" s="408" t="s">
        <v>217</v>
      </c>
      <c r="B39" s="378">
        <v>24000</v>
      </c>
      <c r="C39" s="517">
        <v>560.49</v>
      </c>
      <c r="D39" s="517">
        <v>765.79</v>
      </c>
      <c r="E39" s="517">
        <v>536.39</v>
      </c>
      <c r="F39" s="517">
        <v>364.58</v>
      </c>
      <c r="G39" s="517">
        <v>839.58</v>
      </c>
      <c r="H39" s="517">
        <v>556.07000000000005</v>
      </c>
      <c r="I39" s="517">
        <v>826.5</v>
      </c>
      <c r="J39" s="517">
        <v>1054.54</v>
      </c>
      <c r="K39" s="517">
        <v>1038.3399999999999</v>
      </c>
      <c r="L39" s="517"/>
      <c r="M39" s="517"/>
      <c r="N39" s="519"/>
      <c r="O39" s="579"/>
    </row>
    <row r="40" spans="1:15">
      <c r="A40" s="408" t="s">
        <v>221</v>
      </c>
      <c r="B40" s="378">
        <v>25000</v>
      </c>
      <c r="C40" s="517">
        <v>15426.52</v>
      </c>
      <c r="D40" s="517">
        <v>14271.71</v>
      </c>
      <c r="E40" s="517">
        <v>14926.63</v>
      </c>
      <c r="F40" s="517">
        <v>13058.33</v>
      </c>
      <c r="G40" s="517">
        <v>16128.24</v>
      </c>
      <c r="H40" s="517">
        <v>16730.63</v>
      </c>
      <c r="I40" s="517">
        <v>17885.55</v>
      </c>
      <c r="J40" s="517">
        <v>24066.9</v>
      </c>
      <c r="K40" s="517">
        <v>31561.15</v>
      </c>
      <c r="L40" s="517"/>
      <c r="M40" s="517"/>
      <c r="N40" s="519"/>
      <c r="O40" s="579"/>
    </row>
    <row r="41" spans="1:15">
      <c r="A41" s="408" t="s">
        <v>231</v>
      </c>
      <c r="B41" s="378">
        <v>27000</v>
      </c>
      <c r="C41" s="517">
        <v>14986.31</v>
      </c>
      <c r="D41" s="517">
        <v>12597.17</v>
      </c>
      <c r="E41" s="517">
        <v>10995.56</v>
      </c>
      <c r="F41" s="517">
        <v>10727.15</v>
      </c>
      <c r="G41" s="517">
        <v>15569.57</v>
      </c>
      <c r="H41" s="517">
        <v>15412.02</v>
      </c>
      <c r="I41" s="517">
        <v>17451</v>
      </c>
      <c r="J41" s="517">
        <v>18470.919999999998</v>
      </c>
      <c r="K41" s="517">
        <v>19449.39</v>
      </c>
      <c r="L41" s="517"/>
      <c r="M41" s="517"/>
      <c r="N41" s="519"/>
      <c r="O41" s="579"/>
    </row>
    <row r="42" spans="1:15" ht="11" thickBot="1">
      <c r="A42" s="409" t="s">
        <v>243</v>
      </c>
      <c r="B42" s="379">
        <v>29000</v>
      </c>
      <c r="C42" s="520">
        <v>6422.67</v>
      </c>
      <c r="D42" s="520">
        <v>7108.05</v>
      </c>
      <c r="E42" s="520">
        <v>5923.94</v>
      </c>
      <c r="F42" s="520">
        <v>6659.49</v>
      </c>
      <c r="G42" s="520">
        <v>8989.7199999999993</v>
      </c>
      <c r="H42" s="520">
        <v>7068.88</v>
      </c>
      <c r="I42" s="521">
        <v>7705.25</v>
      </c>
      <c r="J42" s="521">
        <v>9289.9599999999991</v>
      </c>
      <c r="K42" s="521">
        <v>11630.05</v>
      </c>
      <c r="L42" s="521"/>
      <c r="M42" s="521"/>
      <c r="N42" s="580"/>
    </row>
    <row r="43" spans="1:15" ht="11" thickBot="1">
      <c r="A43" s="696" t="s">
        <v>0</v>
      </c>
      <c r="B43" s="697"/>
      <c r="C43" s="591">
        <f t="shared" ref="C43:I43" si="8">SUM(C33:C42)</f>
        <v>368429.78999999992</v>
      </c>
      <c r="D43" s="591">
        <f t="shared" si="8"/>
        <v>484497.88</v>
      </c>
      <c r="E43" s="591">
        <f t="shared" si="8"/>
        <v>681761.8600000001</v>
      </c>
      <c r="F43" s="591">
        <f t="shared" si="8"/>
        <v>654749.54999999981</v>
      </c>
      <c r="G43" s="591">
        <f t="shared" si="8"/>
        <v>801581.27</v>
      </c>
      <c r="H43" s="591">
        <f t="shared" si="8"/>
        <v>420671.72</v>
      </c>
      <c r="I43" s="591">
        <f t="shared" si="8"/>
        <v>478259.06000000006</v>
      </c>
      <c r="J43" s="591">
        <f>SUM(J33:J42)</f>
        <v>709757.71000000008</v>
      </c>
      <c r="K43" s="591">
        <f>SUM(K33:K42)</f>
        <v>841136.00000000012</v>
      </c>
      <c r="L43" s="592">
        <f t="shared" ref="L43:N43" si="9">SUM(L33:L42)</f>
        <v>0</v>
      </c>
      <c r="M43" s="592">
        <f t="shared" si="9"/>
        <v>0</v>
      </c>
      <c r="N43" s="592">
        <f t="shared" si="9"/>
        <v>0</v>
      </c>
    </row>
    <row r="44" spans="1:15" ht="15" thickBot="1">
      <c r="A44" s="698" t="s">
        <v>333</v>
      </c>
      <c r="B44" s="699"/>
      <c r="C44" s="699"/>
      <c r="D44" s="699"/>
      <c r="E44" s="699"/>
      <c r="F44" s="699"/>
      <c r="G44" s="699"/>
      <c r="H44" s="699"/>
      <c r="I44" s="699"/>
      <c r="J44" s="699"/>
      <c r="K44" s="699"/>
      <c r="L44" s="699"/>
      <c r="M44" s="699"/>
      <c r="N44" s="700"/>
    </row>
    <row r="45" spans="1:15">
      <c r="A45" s="410" t="s">
        <v>165</v>
      </c>
      <c r="B45" s="380">
        <v>6000</v>
      </c>
      <c r="C45" s="506">
        <v>24538.13</v>
      </c>
      <c r="D45" s="506">
        <v>30600.6</v>
      </c>
      <c r="E45" s="506">
        <v>42171.45</v>
      </c>
      <c r="F45" s="506">
        <v>41714.019999999997</v>
      </c>
      <c r="G45" s="506">
        <v>52907.07</v>
      </c>
      <c r="H45" s="506">
        <v>28253.41</v>
      </c>
      <c r="I45" s="506">
        <v>34581.71</v>
      </c>
      <c r="J45" s="506">
        <v>50841.48</v>
      </c>
      <c r="K45" s="506">
        <v>54035.27</v>
      </c>
      <c r="L45" s="506"/>
      <c r="M45" s="506"/>
      <c r="N45" s="508"/>
    </row>
    <row r="46" spans="1:15">
      <c r="A46" s="411" t="s">
        <v>173</v>
      </c>
      <c r="B46" s="381">
        <v>7000</v>
      </c>
      <c r="C46" s="509">
        <v>0</v>
      </c>
      <c r="D46" s="509">
        <v>0</v>
      </c>
      <c r="E46" s="509">
        <v>0</v>
      </c>
      <c r="F46" s="509">
        <v>0</v>
      </c>
      <c r="G46" s="509">
        <v>0</v>
      </c>
      <c r="H46" s="509">
        <v>0</v>
      </c>
      <c r="I46" s="509">
        <v>0</v>
      </c>
      <c r="J46" s="509">
        <v>0</v>
      </c>
      <c r="K46" s="509">
        <v>0</v>
      </c>
      <c r="L46" s="509"/>
      <c r="M46" s="509"/>
      <c r="N46" s="511"/>
    </row>
    <row r="47" spans="1:15">
      <c r="A47" s="411" t="s">
        <v>179</v>
      </c>
      <c r="B47" s="381">
        <v>10000</v>
      </c>
      <c r="C47" s="509">
        <v>0</v>
      </c>
      <c r="D47" s="509">
        <v>0</v>
      </c>
      <c r="E47" s="509">
        <v>0</v>
      </c>
      <c r="F47" s="509">
        <v>0</v>
      </c>
      <c r="G47" s="509">
        <v>0</v>
      </c>
      <c r="H47" s="509">
        <v>0</v>
      </c>
      <c r="I47" s="509">
        <v>0</v>
      </c>
      <c r="J47" s="509">
        <v>0</v>
      </c>
      <c r="K47" s="509">
        <v>0</v>
      </c>
      <c r="L47" s="509"/>
      <c r="M47" s="509"/>
      <c r="N47" s="511"/>
    </row>
    <row r="48" spans="1:15">
      <c r="A48" s="411" t="s">
        <v>192</v>
      </c>
      <c r="B48" s="381">
        <v>15000</v>
      </c>
      <c r="C48" s="509">
        <v>656.22</v>
      </c>
      <c r="D48" s="509">
        <v>862.92</v>
      </c>
      <c r="E48" s="509">
        <v>1227.73</v>
      </c>
      <c r="F48" s="509">
        <v>1175.1500000000001</v>
      </c>
      <c r="G48" s="509">
        <v>1507.22</v>
      </c>
      <c r="H48" s="509">
        <v>743.88</v>
      </c>
      <c r="I48" s="509">
        <v>851.2</v>
      </c>
      <c r="J48" s="509">
        <v>1289.72</v>
      </c>
      <c r="K48" s="509">
        <v>1518.83</v>
      </c>
      <c r="L48" s="509"/>
      <c r="M48" s="509"/>
      <c r="N48" s="511"/>
    </row>
    <row r="49" spans="1:14">
      <c r="A49" s="411" t="s">
        <v>195</v>
      </c>
      <c r="B49" s="381">
        <v>18000</v>
      </c>
      <c r="C49" s="509">
        <v>365671.62</v>
      </c>
      <c r="D49" s="509">
        <v>496019.92</v>
      </c>
      <c r="E49" s="509">
        <v>722486.8</v>
      </c>
      <c r="F49" s="509">
        <v>690014.1</v>
      </c>
      <c r="G49" s="509">
        <v>818257.04</v>
      </c>
      <c r="H49" s="509">
        <v>408640.11</v>
      </c>
      <c r="I49" s="509">
        <v>467327.63</v>
      </c>
      <c r="J49" s="509">
        <v>690071.19</v>
      </c>
      <c r="K49" s="509">
        <v>851005.4</v>
      </c>
      <c r="L49" s="509"/>
      <c r="M49" s="509"/>
      <c r="N49" s="511"/>
    </row>
    <row r="50" spans="1:14">
      <c r="A50" s="411" t="s">
        <v>211</v>
      </c>
      <c r="B50" s="381">
        <v>21000</v>
      </c>
      <c r="C50" s="509">
        <v>1264.93</v>
      </c>
      <c r="D50" s="509">
        <v>1663.85</v>
      </c>
      <c r="E50" s="509">
        <v>2359.39</v>
      </c>
      <c r="F50" s="509">
        <v>2473.5300000000002</v>
      </c>
      <c r="G50" s="509">
        <v>3119.73</v>
      </c>
      <c r="H50" s="509">
        <v>1960.68</v>
      </c>
      <c r="I50" s="509">
        <v>1959.71</v>
      </c>
      <c r="J50" s="509">
        <v>3187.48</v>
      </c>
      <c r="K50" s="509">
        <v>3232.45</v>
      </c>
      <c r="L50" s="509"/>
      <c r="M50" s="509"/>
      <c r="N50" s="511"/>
    </row>
    <row r="51" spans="1:14">
      <c r="A51" s="411" t="s">
        <v>217</v>
      </c>
      <c r="B51" s="381">
        <v>24000</v>
      </c>
      <c r="C51" s="509">
        <v>0</v>
      </c>
      <c r="D51" s="509">
        <v>0</v>
      </c>
      <c r="E51" s="509">
        <v>0</v>
      </c>
      <c r="F51" s="509">
        <v>0</v>
      </c>
      <c r="G51" s="509">
        <v>0</v>
      </c>
      <c r="H51" s="509">
        <v>0</v>
      </c>
      <c r="I51" s="509">
        <v>0</v>
      </c>
      <c r="J51" s="509">
        <v>0</v>
      </c>
      <c r="K51" s="509">
        <v>0</v>
      </c>
      <c r="L51" s="509"/>
      <c r="M51" s="509"/>
      <c r="N51" s="511"/>
    </row>
    <row r="52" spans="1:14">
      <c r="A52" s="411" t="s">
        <v>221</v>
      </c>
      <c r="B52" s="381">
        <v>25000</v>
      </c>
      <c r="C52" s="509">
        <v>48510.98</v>
      </c>
      <c r="D52" s="509">
        <v>58178.51</v>
      </c>
      <c r="E52" s="509">
        <v>77754.11</v>
      </c>
      <c r="F52" s="509">
        <v>73276.88</v>
      </c>
      <c r="G52" s="509">
        <v>93404.97</v>
      </c>
      <c r="H52" s="509">
        <v>54139.46</v>
      </c>
      <c r="I52" s="509">
        <v>60774.98</v>
      </c>
      <c r="J52" s="509">
        <v>89254.37</v>
      </c>
      <c r="K52" s="509">
        <v>107690.01</v>
      </c>
      <c r="L52" s="509"/>
      <c r="M52" s="509"/>
      <c r="N52" s="511"/>
    </row>
    <row r="53" spans="1:14">
      <c r="A53" s="411" t="s">
        <v>231</v>
      </c>
      <c r="B53" s="381">
        <v>27000</v>
      </c>
      <c r="C53" s="509">
        <v>23215.3</v>
      </c>
      <c r="D53" s="509">
        <v>23892.23</v>
      </c>
      <c r="E53" s="509">
        <v>27527.54</v>
      </c>
      <c r="F53" s="509">
        <v>26537.58</v>
      </c>
      <c r="G53" s="509">
        <v>35727.01</v>
      </c>
      <c r="H53" s="509">
        <v>24807.17</v>
      </c>
      <c r="I53" s="509">
        <v>28213.83</v>
      </c>
      <c r="J53" s="509">
        <v>35309.9</v>
      </c>
      <c r="K53" s="509">
        <v>39318.49</v>
      </c>
      <c r="L53" s="509"/>
      <c r="M53" s="509"/>
      <c r="N53" s="511"/>
    </row>
    <row r="54" spans="1:14" ht="11" thickBot="1">
      <c r="A54" s="412" t="s">
        <v>243</v>
      </c>
      <c r="B54" s="382">
        <v>29000</v>
      </c>
      <c r="C54" s="512">
        <v>20444.009999999998</v>
      </c>
      <c r="D54" s="512">
        <v>25635.19</v>
      </c>
      <c r="E54" s="512">
        <v>32562.94</v>
      </c>
      <c r="F54" s="512">
        <v>32091.61</v>
      </c>
      <c r="G54" s="512">
        <v>41578.68</v>
      </c>
      <c r="H54" s="512">
        <v>22699.39</v>
      </c>
      <c r="I54" s="513">
        <v>25616.2</v>
      </c>
      <c r="J54" s="513">
        <v>36587.279999999999</v>
      </c>
      <c r="K54" s="513">
        <v>43553.31</v>
      </c>
      <c r="L54" s="513"/>
      <c r="M54" s="513"/>
      <c r="N54" s="581"/>
    </row>
    <row r="55" spans="1:14" ht="11" thickBot="1">
      <c r="A55" s="701" t="s">
        <v>0</v>
      </c>
      <c r="B55" s="702"/>
      <c r="C55" s="593">
        <f t="shared" ref="C55:I55" si="10">SUM(C45:C54)</f>
        <v>484301.18999999994</v>
      </c>
      <c r="D55" s="593">
        <f t="shared" si="10"/>
        <v>636853.21999999986</v>
      </c>
      <c r="E55" s="593">
        <f t="shared" si="10"/>
        <v>906089.96000000008</v>
      </c>
      <c r="F55" s="593">
        <f t="shared" si="10"/>
        <v>867282.87</v>
      </c>
      <c r="G55" s="593">
        <f t="shared" si="10"/>
        <v>1046501.7200000001</v>
      </c>
      <c r="H55" s="593">
        <f t="shared" si="10"/>
        <v>541244.1</v>
      </c>
      <c r="I55" s="593">
        <f t="shared" si="10"/>
        <v>619325.25999999989</v>
      </c>
      <c r="J55" s="593">
        <f>SUM(J45:J54)</f>
        <v>906541.41999999993</v>
      </c>
      <c r="K55" s="593">
        <f t="shared" ref="K55:N55" si="11">SUM(K45:K54)</f>
        <v>1100353.76</v>
      </c>
      <c r="L55" s="593">
        <f t="shared" si="11"/>
        <v>0</v>
      </c>
      <c r="M55" s="594">
        <f t="shared" si="11"/>
        <v>0</v>
      </c>
      <c r="N55" s="594">
        <f t="shared" si="11"/>
        <v>0</v>
      </c>
    </row>
  </sheetData>
  <mergeCells count="5">
    <mergeCell ref="A1:R1"/>
    <mergeCell ref="A32:N32"/>
    <mergeCell ref="A43:B43"/>
    <mergeCell ref="A44:N44"/>
    <mergeCell ref="A55:B55"/>
  </mergeCells>
  <conditionalFormatting sqref="Q4:Q13">
    <cfRule type="cellIs" dxfId="12" priority="2" operator="lessThan">
      <formula>0</formula>
    </cfRule>
  </conditionalFormatting>
  <conditionalFormatting sqref="Q14">
    <cfRule type="cellIs" dxfId="11" priority="1" operator="lessThan">
      <formula>0</formula>
    </cfRule>
  </conditionalFormatting>
  <pageMargins left="0.25" right="0.25" top="0.25" bottom="0.25" header="0" footer="0"/>
  <pageSetup scale="81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 enableFormatConditionsCalculation="0">
    <tabColor rgb="FFFF0000"/>
    <pageSetUpPr fitToPage="1"/>
  </sheetPr>
  <dimension ref="A1:R55"/>
  <sheetViews>
    <sheetView zoomScale="125" zoomScaleNormal="125" zoomScalePageLayoutView="125" workbookViewId="0">
      <pane ySplit="3" topLeftCell="A4" activePane="bottomLeft" state="frozen"/>
      <selection pane="bottomLeft" activeCell="K3" sqref="K3"/>
    </sheetView>
  </sheetViews>
  <sheetFormatPr baseColWidth="10" defaultColWidth="9.1640625" defaultRowHeight="10" x14ac:dyDescent="0"/>
  <cols>
    <col min="1" max="1" width="16.5" style="394" bestFit="1" customWidth="1"/>
    <col min="2" max="2" width="11.5" style="394" bestFit="1" customWidth="1"/>
    <col min="3" max="3" width="7.5" style="394" bestFit="1" customWidth="1"/>
    <col min="4" max="14" width="8.6640625" style="394" bestFit="1" customWidth="1"/>
    <col min="15" max="16" width="9.5" style="394" bestFit="1" customWidth="1"/>
    <col min="17" max="17" width="8.6640625" style="394" bestFit="1" customWidth="1"/>
    <col min="18" max="16384" width="9.1640625" style="394"/>
  </cols>
  <sheetData>
    <row r="1" spans="1:18" ht="17">
      <c r="A1" s="692" t="s">
        <v>350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</row>
    <row r="2" spans="1:18" ht="11" thickBot="1">
      <c r="A2" s="383"/>
      <c r="B2" s="384"/>
    </row>
    <row r="3" spans="1:18" ht="11" thickBot="1">
      <c r="A3" s="385" t="s">
        <v>310</v>
      </c>
      <c r="B3" s="385" t="s">
        <v>311</v>
      </c>
      <c r="C3" s="385">
        <v>42370</v>
      </c>
      <c r="D3" s="385">
        <v>42401</v>
      </c>
      <c r="E3" s="385">
        <v>42430</v>
      </c>
      <c r="F3" s="385">
        <v>42461</v>
      </c>
      <c r="G3" s="385">
        <v>42491</v>
      </c>
      <c r="H3" s="385">
        <v>42522</v>
      </c>
      <c r="I3" s="385">
        <v>42552</v>
      </c>
      <c r="J3" s="385">
        <v>42583</v>
      </c>
      <c r="K3" s="385">
        <v>42614</v>
      </c>
      <c r="L3" s="385">
        <v>42644</v>
      </c>
      <c r="M3" s="385">
        <v>42675</v>
      </c>
      <c r="N3" s="385">
        <v>42705</v>
      </c>
      <c r="O3" s="393" t="s">
        <v>349</v>
      </c>
      <c r="P3" s="391" t="s">
        <v>336</v>
      </c>
      <c r="Q3" s="392" t="s">
        <v>265</v>
      </c>
      <c r="R3" s="622" t="s">
        <v>347</v>
      </c>
    </row>
    <row r="4" spans="1:18">
      <c r="A4" s="421" t="s">
        <v>165</v>
      </c>
      <c r="B4" s="422">
        <v>6000</v>
      </c>
      <c r="C4" s="423">
        <f>C33+C45</f>
        <v>30389.84</v>
      </c>
      <c r="D4" s="423">
        <f t="shared" ref="D4:N4" si="0">D33+D45</f>
        <v>35131.46</v>
      </c>
      <c r="E4" s="423">
        <f t="shared" si="0"/>
        <v>61584.93</v>
      </c>
      <c r="F4" s="423">
        <f t="shared" si="0"/>
        <v>30985.050000000003</v>
      </c>
      <c r="G4" s="423">
        <f t="shared" si="0"/>
        <v>63701.21</v>
      </c>
      <c r="H4" s="423">
        <f t="shared" si="0"/>
        <v>37584.43</v>
      </c>
      <c r="I4" s="423">
        <f t="shared" si="0"/>
        <v>39449.53</v>
      </c>
      <c r="J4" s="423">
        <f t="shared" si="0"/>
        <v>65464.229999999996</v>
      </c>
      <c r="K4" s="423">
        <f t="shared" si="0"/>
        <v>61276.59</v>
      </c>
      <c r="L4" s="423">
        <f t="shared" si="0"/>
        <v>77679.38</v>
      </c>
      <c r="M4" s="423">
        <f t="shared" si="0"/>
        <v>54530.9</v>
      </c>
      <c r="N4" s="423">
        <f t="shared" si="0"/>
        <v>48058</v>
      </c>
      <c r="O4" s="386">
        <f t="shared" ref="O4:O13" si="1">SUM(C4:N4)</f>
        <v>605835.55000000005</v>
      </c>
      <c r="P4" s="388">
        <f>SUM('CR 2015'!C4:N4)</f>
        <v>566642.18000000005</v>
      </c>
      <c r="Q4" s="638">
        <f t="shared" ref="Q4:Q13" si="2">O4/P4-1</f>
        <v>6.9167759449181743E-2</v>
      </c>
      <c r="R4" s="623">
        <f>O4/$O$14</f>
        <v>3.724181998875245E-2</v>
      </c>
    </row>
    <row r="5" spans="1:18">
      <c r="A5" s="421" t="s">
        <v>173</v>
      </c>
      <c r="B5" s="422">
        <v>7000</v>
      </c>
      <c r="C5" s="423">
        <f t="shared" ref="C5:N13" si="3">C34+C46</f>
        <v>0</v>
      </c>
      <c r="D5" s="423">
        <f t="shared" si="3"/>
        <v>0</v>
      </c>
      <c r="E5" s="423">
        <f t="shared" si="3"/>
        <v>0</v>
      </c>
      <c r="F5" s="423">
        <f t="shared" si="3"/>
        <v>0</v>
      </c>
      <c r="G5" s="423">
        <f t="shared" si="3"/>
        <v>0</v>
      </c>
      <c r="H5" s="423">
        <f t="shared" si="3"/>
        <v>0</v>
      </c>
      <c r="I5" s="423">
        <f t="shared" si="3"/>
        <v>0</v>
      </c>
      <c r="J5" s="423">
        <f t="shared" si="3"/>
        <v>0</v>
      </c>
      <c r="K5" s="423">
        <f t="shared" si="3"/>
        <v>0</v>
      </c>
      <c r="L5" s="423">
        <f t="shared" si="3"/>
        <v>0</v>
      </c>
      <c r="M5" s="423">
        <f t="shared" si="3"/>
        <v>0</v>
      </c>
      <c r="N5" s="423">
        <f t="shared" si="3"/>
        <v>0</v>
      </c>
      <c r="O5" s="386">
        <f t="shared" si="1"/>
        <v>0</v>
      </c>
      <c r="P5" s="388">
        <f>SUM('CR 2015'!C5:N5)</f>
        <v>0</v>
      </c>
      <c r="Q5" s="638" t="e">
        <f t="shared" si="2"/>
        <v>#DIV/0!</v>
      </c>
      <c r="R5" s="623">
        <f t="shared" ref="R5:R14" si="4">O5/$O$14</f>
        <v>0</v>
      </c>
    </row>
    <row r="6" spans="1:18">
      <c r="A6" s="421" t="s">
        <v>179</v>
      </c>
      <c r="B6" s="422">
        <v>10000</v>
      </c>
      <c r="C6" s="423">
        <f t="shared" si="3"/>
        <v>3125</v>
      </c>
      <c r="D6" s="423">
        <f t="shared" si="3"/>
        <v>4567.5</v>
      </c>
      <c r="E6" s="423">
        <f t="shared" si="3"/>
        <v>903.44</v>
      </c>
      <c r="F6" s="423">
        <f t="shared" si="3"/>
        <v>3813.45</v>
      </c>
      <c r="G6" s="423">
        <f t="shared" si="3"/>
        <v>11113.42</v>
      </c>
      <c r="H6" s="423">
        <f t="shared" si="3"/>
        <v>14168.91</v>
      </c>
      <c r="I6" s="423">
        <f t="shared" si="3"/>
        <v>14929.63</v>
      </c>
      <c r="J6" s="423">
        <f t="shared" si="3"/>
        <v>21674.21</v>
      </c>
      <c r="K6" s="423">
        <f t="shared" si="3"/>
        <v>10652.28</v>
      </c>
      <c r="L6" s="423">
        <f t="shared" si="3"/>
        <v>8702.2800000000007</v>
      </c>
      <c r="M6" s="423">
        <f t="shared" si="3"/>
        <v>19096.189999999999</v>
      </c>
      <c r="N6" s="423">
        <f t="shared" si="3"/>
        <v>15263</v>
      </c>
      <c r="O6" s="386">
        <f t="shared" si="1"/>
        <v>128009.31</v>
      </c>
      <c r="P6" s="388">
        <f>SUM('CR 2015'!C6:N6)</f>
        <v>120494.73999999999</v>
      </c>
      <c r="Q6" s="638">
        <f t="shared" si="2"/>
        <v>6.2364299055709838E-2</v>
      </c>
      <c r="R6" s="623">
        <f t="shared" si="4"/>
        <v>7.868966553554688E-3</v>
      </c>
    </row>
    <row r="7" spans="1:18">
      <c r="A7" s="421" t="s">
        <v>192</v>
      </c>
      <c r="B7" s="422">
        <v>15000</v>
      </c>
      <c r="C7" s="423">
        <f t="shared" si="3"/>
        <v>617</v>
      </c>
      <c r="D7" s="423">
        <f t="shared" si="3"/>
        <v>777.49</v>
      </c>
      <c r="E7" s="423">
        <f t="shared" si="3"/>
        <v>1309.1199999999999</v>
      </c>
      <c r="F7" s="423">
        <f t="shared" si="3"/>
        <v>871.47</v>
      </c>
      <c r="G7" s="423">
        <f t="shared" si="3"/>
        <v>1222.99</v>
      </c>
      <c r="H7" s="423">
        <f t="shared" si="3"/>
        <v>765.29</v>
      </c>
      <c r="I7" s="423">
        <f t="shared" si="3"/>
        <v>784.74</v>
      </c>
      <c r="J7" s="423">
        <f t="shared" si="3"/>
        <v>1130.4100000000001</v>
      </c>
      <c r="K7" s="423">
        <f t="shared" si="3"/>
        <v>1337.97</v>
      </c>
      <c r="L7" s="423">
        <f t="shared" si="3"/>
        <v>1475.86</v>
      </c>
      <c r="M7" s="423">
        <f t="shared" si="3"/>
        <v>1104.46</v>
      </c>
      <c r="N7" s="423">
        <f t="shared" si="3"/>
        <v>977</v>
      </c>
      <c r="O7" s="386">
        <f t="shared" si="1"/>
        <v>12373.8</v>
      </c>
      <c r="P7" s="388">
        <f>SUM('CR 2015'!C7:N7)</f>
        <v>11793.45</v>
      </c>
      <c r="Q7" s="638">
        <f t="shared" si="2"/>
        <v>4.9209518843086553E-2</v>
      </c>
      <c r="R7" s="623">
        <f t="shared" si="4"/>
        <v>7.6064013109964409E-4</v>
      </c>
    </row>
    <row r="8" spans="1:18">
      <c r="A8" s="421" t="s">
        <v>195</v>
      </c>
      <c r="B8" s="422">
        <v>18000</v>
      </c>
      <c r="C8" s="423">
        <f t="shared" si="3"/>
        <v>668567</v>
      </c>
      <c r="D8" s="423">
        <f t="shared" si="3"/>
        <v>852428.34000000008</v>
      </c>
      <c r="E8" s="423">
        <f t="shared" si="3"/>
        <v>1454384.3900000001</v>
      </c>
      <c r="F8" s="423">
        <f t="shared" si="3"/>
        <v>1013237.33</v>
      </c>
      <c r="G8" s="423">
        <f t="shared" si="3"/>
        <v>1362907.62</v>
      </c>
      <c r="H8" s="423">
        <f t="shared" si="3"/>
        <v>810835.6100000001</v>
      </c>
      <c r="I8" s="423">
        <f t="shared" si="3"/>
        <v>826523.89999999991</v>
      </c>
      <c r="J8" s="423">
        <f t="shared" si="3"/>
        <v>1188875.48</v>
      </c>
      <c r="K8" s="423">
        <f t="shared" si="3"/>
        <v>1438988.9300000002</v>
      </c>
      <c r="L8" s="423">
        <f t="shared" si="3"/>
        <v>1588018.07</v>
      </c>
      <c r="M8" s="423">
        <f t="shared" si="3"/>
        <v>1186590.8700000001</v>
      </c>
      <c r="N8" s="423">
        <f t="shared" si="3"/>
        <v>1037762</v>
      </c>
      <c r="O8" s="386">
        <f t="shared" si="1"/>
        <v>13429119.540000003</v>
      </c>
      <c r="P8" s="388">
        <f>SUM('CR 2015'!C8:N8)</f>
        <v>12741616.689999999</v>
      </c>
      <c r="Q8" s="638">
        <f t="shared" si="2"/>
        <v>5.3957269844695288E-2</v>
      </c>
      <c r="R8" s="623">
        <f t="shared" si="4"/>
        <v>0.82551255454738204</v>
      </c>
    </row>
    <row r="9" spans="1:18">
      <c r="A9" s="421" t="s">
        <v>211</v>
      </c>
      <c r="B9" s="422">
        <v>21000</v>
      </c>
      <c r="C9" s="423">
        <f t="shared" si="3"/>
        <v>1231.78</v>
      </c>
      <c r="D9" s="423">
        <f t="shared" si="3"/>
        <v>1582.1799999999998</v>
      </c>
      <c r="E9" s="423">
        <f t="shared" si="3"/>
        <v>2591.27</v>
      </c>
      <c r="F9" s="423">
        <f t="shared" si="3"/>
        <v>1706.55</v>
      </c>
      <c r="G9" s="423">
        <f t="shared" si="3"/>
        <v>2679.52</v>
      </c>
      <c r="H9" s="423">
        <f t="shared" si="3"/>
        <v>1733.8700000000001</v>
      </c>
      <c r="I9" s="423">
        <f t="shared" si="3"/>
        <v>2289.6499999999996</v>
      </c>
      <c r="J9" s="423">
        <f t="shared" si="3"/>
        <v>2143.7399999999998</v>
      </c>
      <c r="K9" s="423">
        <f t="shared" si="3"/>
        <v>2795.18</v>
      </c>
      <c r="L9" s="423">
        <f t="shared" si="3"/>
        <v>3332.76</v>
      </c>
      <c r="M9" s="423">
        <f t="shared" si="3"/>
        <v>2889.3799999999997</v>
      </c>
      <c r="N9" s="423">
        <f t="shared" si="3"/>
        <v>2000</v>
      </c>
      <c r="O9" s="386">
        <f t="shared" si="1"/>
        <v>26975.88</v>
      </c>
      <c r="P9" s="388">
        <f>SUM('CR 2015'!C9:N9)</f>
        <v>24007.96</v>
      </c>
      <c r="Q9" s="638">
        <f t="shared" si="2"/>
        <v>0.12362233192657768</v>
      </c>
      <c r="R9" s="623">
        <f t="shared" si="4"/>
        <v>1.6582567117399884E-3</v>
      </c>
    </row>
    <row r="10" spans="1:18">
      <c r="A10" s="421" t="s">
        <v>217</v>
      </c>
      <c r="B10" s="422">
        <v>24000</v>
      </c>
      <c r="C10" s="423">
        <f t="shared" si="3"/>
        <v>426.3</v>
      </c>
      <c r="D10" s="423">
        <f t="shared" si="3"/>
        <v>722.18</v>
      </c>
      <c r="E10" s="423">
        <f t="shared" si="3"/>
        <v>624.20000000000005</v>
      </c>
      <c r="F10" s="423">
        <f t="shared" si="3"/>
        <v>24.62</v>
      </c>
      <c r="G10" s="423">
        <f t="shared" si="3"/>
        <v>308.05</v>
      </c>
      <c r="H10" s="423">
        <f t="shared" si="3"/>
        <v>404</v>
      </c>
      <c r="I10" s="423">
        <f t="shared" si="3"/>
        <v>657.18</v>
      </c>
      <c r="J10" s="423">
        <f t="shared" si="3"/>
        <v>711.35</v>
      </c>
      <c r="K10" s="423">
        <f t="shared" si="3"/>
        <v>926.63</v>
      </c>
      <c r="L10" s="423">
        <f t="shared" si="3"/>
        <v>906.81</v>
      </c>
      <c r="M10" s="423">
        <f t="shared" si="3"/>
        <v>714.95</v>
      </c>
      <c r="N10" s="423">
        <f t="shared" si="3"/>
        <v>695</v>
      </c>
      <c r="O10" s="386">
        <f t="shared" si="1"/>
        <v>7121.2699999999995</v>
      </c>
      <c r="P10" s="388">
        <f>SUM('CR 2015'!C10:N10)</f>
        <v>10767.58</v>
      </c>
      <c r="Q10" s="638">
        <f t="shared" si="2"/>
        <v>-0.33863783691414417</v>
      </c>
      <c r="R10" s="623">
        <f t="shared" si="4"/>
        <v>4.3775749942588069E-4</v>
      </c>
    </row>
    <row r="11" spans="1:18">
      <c r="A11" s="421" t="s">
        <v>221</v>
      </c>
      <c r="B11" s="422">
        <v>25000</v>
      </c>
      <c r="C11" s="423">
        <f t="shared" si="3"/>
        <v>57894</v>
      </c>
      <c r="D11" s="423">
        <f t="shared" si="3"/>
        <v>75755.8</v>
      </c>
      <c r="E11" s="423">
        <f t="shared" si="3"/>
        <v>114857.98000000001</v>
      </c>
      <c r="F11" s="423">
        <f t="shared" si="3"/>
        <v>61253.64</v>
      </c>
      <c r="G11" s="423">
        <f t="shared" si="3"/>
        <v>97665.950000000012</v>
      </c>
      <c r="H11" s="423">
        <f t="shared" si="3"/>
        <v>72331.09</v>
      </c>
      <c r="I11" s="423">
        <f t="shared" si="3"/>
        <v>72229.31</v>
      </c>
      <c r="J11" s="423">
        <f t="shared" si="3"/>
        <v>107235.98</v>
      </c>
      <c r="K11" s="423">
        <f t="shared" si="3"/>
        <v>118445.87999999999</v>
      </c>
      <c r="L11" s="423">
        <f t="shared" si="3"/>
        <v>127050.22</v>
      </c>
      <c r="M11" s="423">
        <f t="shared" si="3"/>
        <v>91868.09</v>
      </c>
      <c r="N11" s="423">
        <f t="shared" si="3"/>
        <v>87733</v>
      </c>
      <c r="O11" s="386">
        <f t="shared" si="1"/>
        <v>1084320.94</v>
      </c>
      <c r="P11" s="388">
        <f>SUM('CR 2015'!C11:N11)</f>
        <v>992525.8</v>
      </c>
      <c r="Q11" s="638">
        <f t="shared" si="2"/>
        <v>9.2486401864817935E-2</v>
      </c>
      <c r="R11" s="623">
        <f t="shared" si="4"/>
        <v>6.6655192580750408E-2</v>
      </c>
    </row>
    <row r="12" spans="1:18">
      <c r="A12" s="421" t="s">
        <v>231</v>
      </c>
      <c r="B12" s="422">
        <v>27000</v>
      </c>
      <c r="C12" s="423">
        <f t="shared" si="3"/>
        <v>32348</v>
      </c>
      <c r="D12" s="423">
        <f t="shared" si="3"/>
        <v>32199.69</v>
      </c>
      <c r="E12" s="423">
        <f t="shared" si="3"/>
        <v>51664.47</v>
      </c>
      <c r="F12" s="423">
        <f t="shared" si="3"/>
        <v>21818.69</v>
      </c>
      <c r="G12" s="423">
        <f t="shared" si="3"/>
        <v>45292.85</v>
      </c>
      <c r="H12" s="423">
        <f t="shared" si="3"/>
        <v>36903.740000000005</v>
      </c>
      <c r="I12" s="423">
        <f t="shared" si="3"/>
        <v>41985.5</v>
      </c>
      <c r="J12" s="423">
        <f t="shared" si="3"/>
        <v>50350.3</v>
      </c>
      <c r="K12" s="423">
        <f t="shared" si="3"/>
        <v>55794.31</v>
      </c>
      <c r="L12" s="423">
        <f t="shared" si="3"/>
        <v>59118.06</v>
      </c>
      <c r="M12" s="423">
        <f t="shared" si="3"/>
        <v>44710.58</v>
      </c>
      <c r="N12" s="423">
        <f t="shared" si="3"/>
        <v>50014</v>
      </c>
      <c r="O12" s="386">
        <f t="shared" si="1"/>
        <v>522200.19</v>
      </c>
      <c r="P12" s="388">
        <f>SUM('CR 2015'!C12:N12)</f>
        <v>466235.83999999997</v>
      </c>
      <c r="Q12" s="638">
        <f t="shared" si="2"/>
        <v>0.12003442292209887</v>
      </c>
      <c r="R12" s="623">
        <f t="shared" si="4"/>
        <v>3.2100601349776069E-2</v>
      </c>
    </row>
    <row r="13" spans="1:18" ht="11" thickBot="1">
      <c r="A13" s="421" t="s">
        <v>243</v>
      </c>
      <c r="B13" s="427">
        <v>29000</v>
      </c>
      <c r="C13" s="423">
        <f t="shared" si="3"/>
        <v>24708</v>
      </c>
      <c r="D13" s="423">
        <f t="shared" si="3"/>
        <v>30878.65</v>
      </c>
      <c r="E13" s="423">
        <f t="shared" si="3"/>
        <v>45809.91</v>
      </c>
      <c r="F13" s="423">
        <f t="shared" si="3"/>
        <v>23239.97</v>
      </c>
      <c r="G13" s="423">
        <f t="shared" si="3"/>
        <v>44756.25</v>
      </c>
      <c r="H13" s="423">
        <f t="shared" si="3"/>
        <v>28248.07</v>
      </c>
      <c r="I13" s="423">
        <f>I42+I54</f>
        <v>30265.08</v>
      </c>
      <c r="J13" s="423">
        <f t="shared" si="3"/>
        <v>44759.94</v>
      </c>
      <c r="K13" s="423">
        <f t="shared" si="3"/>
        <v>49392.189999999995</v>
      </c>
      <c r="L13" s="423">
        <f t="shared" si="3"/>
        <v>49458.31</v>
      </c>
      <c r="M13" s="423">
        <f t="shared" si="3"/>
        <v>44745.09</v>
      </c>
      <c r="N13" s="423">
        <f t="shared" si="3"/>
        <v>35396</v>
      </c>
      <c r="O13" s="387">
        <f t="shared" si="1"/>
        <v>451657.45999999996</v>
      </c>
      <c r="P13" s="388">
        <f>SUM('CR 2015'!C13:N13)</f>
        <v>431296</v>
      </c>
      <c r="Q13" s="643">
        <f t="shared" si="2"/>
        <v>4.7209943982786662E-2</v>
      </c>
      <c r="R13" s="624">
        <f t="shared" si="4"/>
        <v>2.7764210637518973E-2</v>
      </c>
    </row>
    <row r="14" spans="1:18" ht="11" thickBot="1">
      <c r="A14" s="402" t="s">
        <v>312</v>
      </c>
      <c r="B14" s="402" t="s">
        <v>313</v>
      </c>
      <c r="C14" s="402">
        <f>SUM(C4:C13)</f>
        <v>819306.92</v>
      </c>
      <c r="D14" s="402">
        <f t="shared" ref="D14:N14" si="5">SUM(D4:D13)</f>
        <v>1034043.2900000002</v>
      </c>
      <c r="E14" s="402">
        <f t="shared" si="5"/>
        <v>1733729.71</v>
      </c>
      <c r="F14" s="402">
        <f t="shared" si="5"/>
        <v>1156950.77</v>
      </c>
      <c r="G14" s="402">
        <f t="shared" si="5"/>
        <v>1629647.8600000003</v>
      </c>
      <c r="H14" s="402">
        <f t="shared" si="5"/>
        <v>1002975.01</v>
      </c>
      <c r="I14" s="402">
        <f t="shared" si="5"/>
        <v>1029114.5199999999</v>
      </c>
      <c r="J14" s="402">
        <f t="shared" si="5"/>
        <v>1482345.6400000001</v>
      </c>
      <c r="K14" s="402">
        <f t="shared" si="5"/>
        <v>1739609.96</v>
      </c>
      <c r="L14" s="402">
        <f t="shared" si="5"/>
        <v>1915741.7500000002</v>
      </c>
      <c r="M14" s="402">
        <f t="shared" si="5"/>
        <v>1446250.5100000002</v>
      </c>
      <c r="N14" s="402">
        <f t="shared" si="5"/>
        <v>1277898</v>
      </c>
      <c r="O14" s="406">
        <f>SUM(O4:O13)</f>
        <v>16267613.940000001</v>
      </c>
      <c r="P14" s="558">
        <f>SUM(P4:P13)</f>
        <v>15365380.24</v>
      </c>
      <c r="Q14" s="445">
        <f>O14/P14-1</f>
        <v>5.8718605456391959E-2</v>
      </c>
      <c r="R14" s="625">
        <f t="shared" si="4"/>
        <v>1</v>
      </c>
    </row>
    <row r="15" spans="1:18" ht="11" thickBot="1">
      <c r="A15" s="383" t="s">
        <v>312</v>
      </c>
      <c r="B15" s="383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</row>
    <row r="16" spans="1:18" ht="11" thickBot="1">
      <c r="A16" s="383" t="s">
        <v>312</v>
      </c>
      <c r="B16" s="582" t="s">
        <v>314</v>
      </c>
      <c r="C16" s="583">
        <f t="shared" ref="C16:N16" si="6">C14</f>
        <v>819306.92</v>
      </c>
      <c r="D16" s="583">
        <f t="shared" si="6"/>
        <v>1034043.2900000002</v>
      </c>
      <c r="E16" s="583">
        <f t="shared" si="6"/>
        <v>1733729.71</v>
      </c>
      <c r="F16" s="583">
        <f t="shared" si="6"/>
        <v>1156950.77</v>
      </c>
      <c r="G16" s="583">
        <f t="shared" si="6"/>
        <v>1629647.8600000003</v>
      </c>
      <c r="H16" s="583">
        <f t="shared" si="6"/>
        <v>1002975.01</v>
      </c>
      <c r="I16" s="583">
        <f t="shared" si="6"/>
        <v>1029114.5199999999</v>
      </c>
      <c r="J16" s="583">
        <f t="shared" si="6"/>
        <v>1482345.6400000001</v>
      </c>
      <c r="K16" s="583">
        <f t="shared" si="6"/>
        <v>1739609.96</v>
      </c>
      <c r="L16" s="583">
        <f t="shared" si="6"/>
        <v>1915741.7500000002</v>
      </c>
      <c r="M16" s="583">
        <f t="shared" si="6"/>
        <v>1446250.5100000002</v>
      </c>
      <c r="N16" s="584">
        <f t="shared" si="6"/>
        <v>1277898</v>
      </c>
    </row>
    <row r="17" spans="1:15" ht="11" thickBot="1">
      <c r="A17" s="383" t="s">
        <v>312</v>
      </c>
      <c r="B17" s="585" t="s">
        <v>315</v>
      </c>
      <c r="C17" s="586">
        <f>'CR 2015'!C16</f>
        <v>673394.74000000011</v>
      </c>
      <c r="D17" s="586">
        <f>'CR 2015'!D16</f>
        <v>1023272.5099999999</v>
      </c>
      <c r="E17" s="586">
        <f>'CR 2015'!E16</f>
        <v>1448765.28</v>
      </c>
      <c r="F17" s="586">
        <f>'CR 2015'!F16</f>
        <v>1392699.8900000004</v>
      </c>
      <c r="G17" s="586">
        <f>'CR 2015'!G16</f>
        <v>1479644.0300000003</v>
      </c>
      <c r="H17" s="586">
        <f>'CR 2015'!H16</f>
        <v>1053260.6900000002</v>
      </c>
      <c r="I17" s="586">
        <f>'CR 2015'!I16</f>
        <v>1049233.6499999999</v>
      </c>
      <c r="J17" s="586">
        <f>'CR 2015'!J16</f>
        <v>1417481.5699999998</v>
      </c>
      <c r="K17" s="586">
        <f>'CR 2015'!K16</f>
        <v>1599220.3399999999</v>
      </c>
      <c r="L17" s="586">
        <f>'CR 2015'!L16</f>
        <v>1908010.0300000003</v>
      </c>
      <c r="M17" s="586">
        <f>'CR 2015'!M16</f>
        <v>1117324.3399999999</v>
      </c>
      <c r="N17" s="587">
        <f>'CR 2015'!N16</f>
        <v>1203073.17</v>
      </c>
      <c r="O17" s="396"/>
    </row>
    <row r="18" spans="1:15" ht="11" thickBot="1">
      <c r="A18" s="383" t="s">
        <v>312</v>
      </c>
      <c r="B18" s="416" t="s">
        <v>265</v>
      </c>
      <c r="C18" s="414">
        <f t="shared" ref="C18:N18" si="7">(C16/C17)-1</f>
        <v>0.21668149650233359</v>
      </c>
      <c r="D18" s="414">
        <f t="shared" si="7"/>
        <v>1.0525817799991843E-2</v>
      </c>
      <c r="E18" s="414">
        <f t="shared" si="7"/>
        <v>0.19669468473181517</v>
      </c>
      <c r="F18" s="414">
        <f t="shared" si="7"/>
        <v>-0.16927488950975667</v>
      </c>
      <c r="G18" s="414">
        <f t="shared" si="7"/>
        <v>0.10137832273077207</v>
      </c>
      <c r="H18" s="414">
        <f t="shared" si="7"/>
        <v>-4.7742862215811144E-2</v>
      </c>
      <c r="I18" s="414">
        <f t="shared" si="7"/>
        <v>-1.9175071253195175E-2</v>
      </c>
      <c r="J18" s="414">
        <f t="shared" si="7"/>
        <v>4.576007997056375E-2</v>
      </c>
      <c r="K18" s="414">
        <f t="shared" si="7"/>
        <v>8.7786289661623496E-2</v>
      </c>
      <c r="L18" s="414">
        <f t="shared" si="7"/>
        <v>4.0522428490588069E-3</v>
      </c>
      <c r="M18" s="414">
        <f t="shared" si="7"/>
        <v>0.29438736651883946</v>
      </c>
      <c r="N18" s="414">
        <f t="shared" si="7"/>
        <v>6.2194745810847163E-2</v>
      </c>
    </row>
    <row r="19" spans="1:15" ht="11" thickBot="1"/>
    <row r="20" spans="1:15">
      <c r="A20" s="431" t="s">
        <v>316</v>
      </c>
      <c r="B20" s="432" t="s">
        <v>317</v>
      </c>
      <c r="C20" s="433" t="s">
        <v>318</v>
      </c>
      <c r="D20" s="434" t="s">
        <v>319</v>
      </c>
    </row>
    <row r="21" spans="1:15">
      <c r="A21" s="439" t="s">
        <v>165</v>
      </c>
      <c r="B21" s="440" t="s">
        <v>320</v>
      </c>
      <c r="C21" s="435">
        <v>0.03</v>
      </c>
      <c r="D21" s="436">
        <v>0.04</v>
      </c>
    </row>
    <row r="22" spans="1:15">
      <c r="A22" s="439" t="s">
        <v>173</v>
      </c>
      <c r="B22" s="440" t="s">
        <v>321</v>
      </c>
      <c r="C22" s="435">
        <v>0.03</v>
      </c>
      <c r="D22" s="436"/>
    </row>
    <row r="23" spans="1:15">
      <c r="A23" s="439" t="s">
        <v>179</v>
      </c>
      <c r="B23" s="440" t="s">
        <v>322</v>
      </c>
      <c r="C23" s="435">
        <v>0.03</v>
      </c>
      <c r="D23" s="436"/>
    </row>
    <row r="24" spans="1:15">
      <c r="A24" s="439" t="s">
        <v>192</v>
      </c>
      <c r="B24" s="440" t="s">
        <v>323</v>
      </c>
      <c r="C24" s="435">
        <v>0.03</v>
      </c>
      <c r="D24" s="436">
        <v>0.04</v>
      </c>
    </row>
    <row r="25" spans="1:15">
      <c r="A25" s="439" t="s">
        <v>195</v>
      </c>
      <c r="B25" s="440" t="s">
        <v>324</v>
      </c>
      <c r="C25" s="435">
        <v>0.03</v>
      </c>
      <c r="D25" s="436">
        <v>0.04</v>
      </c>
    </row>
    <row r="26" spans="1:15">
      <c r="A26" s="439" t="s">
        <v>211</v>
      </c>
      <c r="B26" s="440" t="s">
        <v>325</v>
      </c>
      <c r="C26" s="435">
        <v>0.03</v>
      </c>
      <c r="D26" s="436">
        <v>0.04</v>
      </c>
    </row>
    <row r="27" spans="1:15">
      <c r="A27" s="439" t="s">
        <v>217</v>
      </c>
      <c r="B27" s="440" t="s">
        <v>326</v>
      </c>
      <c r="C27" s="435">
        <v>0.03</v>
      </c>
      <c r="D27" s="436"/>
      <c r="I27" s="595"/>
    </row>
    <row r="28" spans="1:15">
      <c r="A28" s="439" t="s">
        <v>221</v>
      </c>
      <c r="B28" s="440" t="s">
        <v>327</v>
      </c>
      <c r="C28" s="435">
        <v>0.03</v>
      </c>
      <c r="D28" s="436">
        <v>0.04</v>
      </c>
    </row>
    <row r="29" spans="1:15">
      <c r="A29" s="439" t="s">
        <v>231</v>
      </c>
      <c r="B29" s="440" t="s">
        <v>328</v>
      </c>
      <c r="C29" s="435">
        <v>0.03</v>
      </c>
      <c r="D29" s="436">
        <v>0.04</v>
      </c>
    </row>
    <row r="30" spans="1:15" ht="11" thickBot="1">
      <c r="A30" s="441" t="s">
        <v>243</v>
      </c>
      <c r="B30" s="442" t="s">
        <v>329</v>
      </c>
      <c r="C30" s="437">
        <v>0.03</v>
      </c>
      <c r="D30" s="438">
        <v>0.04</v>
      </c>
    </row>
    <row r="31" spans="1:15" ht="11" thickBot="1"/>
    <row r="32" spans="1:15" ht="15" thickBot="1">
      <c r="A32" s="693" t="s">
        <v>332</v>
      </c>
      <c r="B32" s="694"/>
      <c r="C32" s="694"/>
      <c r="D32" s="694"/>
      <c r="E32" s="694"/>
      <c r="F32" s="694"/>
      <c r="G32" s="694"/>
      <c r="H32" s="694"/>
      <c r="I32" s="694"/>
      <c r="J32" s="694"/>
      <c r="K32" s="694"/>
      <c r="L32" s="694"/>
      <c r="M32" s="694"/>
      <c r="N32" s="695"/>
    </row>
    <row r="33" spans="1:15">
      <c r="A33" s="407" t="s">
        <v>165</v>
      </c>
      <c r="B33" s="377">
        <v>6000</v>
      </c>
      <c r="C33" s="514">
        <v>5808</v>
      </c>
      <c r="D33" s="514">
        <v>5672.82</v>
      </c>
      <c r="E33" s="514">
        <v>10809.25</v>
      </c>
      <c r="F33" s="514">
        <v>2017.24</v>
      </c>
      <c r="G33" s="514">
        <v>13288.6</v>
      </c>
      <c r="H33" s="514">
        <v>7418.58</v>
      </c>
      <c r="I33" s="514">
        <v>8077.68</v>
      </c>
      <c r="J33" s="514">
        <v>16103.73</v>
      </c>
      <c r="K33" s="514">
        <v>10677.24</v>
      </c>
      <c r="L33" s="514">
        <v>16995.25</v>
      </c>
      <c r="M33" s="514">
        <v>10856.28</v>
      </c>
      <c r="N33" s="516">
        <v>9509</v>
      </c>
      <c r="O33" s="579"/>
    </row>
    <row r="34" spans="1:15">
      <c r="A34" s="408" t="s">
        <v>173</v>
      </c>
      <c r="B34" s="378">
        <v>7000</v>
      </c>
      <c r="C34" s="517">
        <v>0</v>
      </c>
      <c r="D34" s="517">
        <v>0</v>
      </c>
      <c r="E34" s="517">
        <v>0</v>
      </c>
      <c r="F34" s="517">
        <v>0</v>
      </c>
      <c r="G34" s="517">
        <v>0</v>
      </c>
      <c r="H34" s="517">
        <v>0</v>
      </c>
      <c r="I34" s="517">
        <v>0</v>
      </c>
      <c r="J34" s="517">
        <v>0</v>
      </c>
      <c r="K34" s="517">
        <v>0</v>
      </c>
      <c r="L34" s="517">
        <v>0</v>
      </c>
      <c r="M34" s="517">
        <v>0</v>
      </c>
      <c r="N34" s="519">
        <v>0</v>
      </c>
      <c r="O34" s="579"/>
    </row>
    <row r="35" spans="1:15">
      <c r="A35" s="408" t="s">
        <v>179</v>
      </c>
      <c r="B35" s="378">
        <v>10000</v>
      </c>
      <c r="C35" s="517">
        <v>3125</v>
      </c>
      <c r="D35" s="517">
        <v>4567.5</v>
      </c>
      <c r="E35" s="517">
        <v>903.44</v>
      </c>
      <c r="F35" s="517">
        <v>3813.45</v>
      </c>
      <c r="G35" s="517">
        <v>11113.42</v>
      </c>
      <c r="H35" s="517">
        <v>14168.91</v>
      </c>
      <c r="I35" s="517">
        <v>14929.63</v>
      </c>
      <c r="J35" s="517">
        <v>21674.21</v>
      </c>
      <c r="K35" s="517">
        <v>10652.28</v>
      </c>
      <c r="L35" s="517">
        <v>8702.2800000000007</v>
      </c>
      <c r="M35" s="517">
        <v>19096.189999999999</v>
      </c>
      <c r="N35" s="519">
        <v>15263</v>
      </c>
      <c r="O35" s="579"/>
    </row>
    <row r="36" spans="1:15">
      <c r="A36" s="408" t="s">
        <v>192</v>
      </c>
      <c r="B36" s="378">
        <v>15000</v>
      </c>
      <c r="C36" s="517">
        <v>0</v>
      </c>
      <c r="D36" s="517">
        <v>0</v>
      </c>
      <c r="E36" s="517">
        <v>0</v>
      </c>
      <c r="F36" s="517">
        <v>0</v>
      </c>
      <c r="G36" s="517">
        <v>0</v>
      </c>
      <c r="H36" s="517">
        <v>0</v>
      </c>
      <c r="I36" s="517">
        <v>0</v>
      </c>
      <c r="J36" s="517">
        <v>0</v>
      </c>
      <c r="K36" s="517">
        <v>0</v>
      </c>
      <c r="L36" s="517">
        <v>0</v>
      </c>
      <c r="M36" s="517">
        <v>0</v>
      </c>
      <c r="N36" s="519">
        <v>0</v>
      </c>
      <c r="O36" s="579"/>
    </row>
    <row r="37" spans="1:15">
      <c r="A37" s="408" t="s">
        <v>195</v>
      </c>
      <c r="B37" s="378">
        <v>18000</v>
      </c>
      <c r="C37" s="517">
        <v>312992</v>
      </c>
      <c r="D37" s="517">
        <v>399523.27</v>
      </c>
      <c r="E37" s="517">
        <v>682579.29</v>
      </c>
      <c r="F37" s="517">
        <v>477697.22</v>
      </c>
      <c r="G37" s="517">
        <v>639849.09</v>
      </c>
      <c r="H37" s="517">
        <v>379784.52</v>
      </c>
      <c r="I37" s="517">
        <v>386892.16</v>
      </c>
      <c r="J37" s="517">
        <v>556423.27</v>
      </c>
      <c r="K37" s="517">
        <v>675048.54</v>
      </c>
      <c r="L37" s="517">
        <v>744994.64</v>
      </c>
      <c r="M37" s="517">
        <v>556585.02</v>
      </c>
      <c r="N37" s="519">
        <v>486197</v>
      </c>
      <c r="O37" s="579"/>
    </row>
    <row r="38" spans="1:15">
      <c r="A38" s="408" t="s">
        <v>211</v>
      </c>
      <c r="B38" s="378">
        <v>21000</v>
      </c>
      <c r="C38" s="517">
        <v>12.78</v>
      </c>
      <c r="D38" s="517">
        <v>30.86</v>
      </c>
      <c r="E38" s="517">
        <v>14.33</v>
      </c>
      <c r="F38" s="517">
        <v>0</v>
      </c>
      <c r="G38" s="517">
        <v>147.22</v>
      </c>
      <c r="H38" s="517">
        <v>146.15</v>
      </c>
      <c r="I38" s="517">
        <v>414.53</v>
      </c>
      <c r="J38" s="517">
        <v>0</v>
      </c>
      <c r="K38" s="517">
        <v>133.35</v>
      </c>
      <c r="L38" s="517">
        <v>276.14999999999998</v>
      </c>
      <c r="M38" s="517">
        <v>411.14</v>
      </c>
      <c r="N38" s="519">
        <v>76</v>
      </c>
      <c r="O38" s="579"/>
    </row>
    <row r="39" spans="1:15">
      <c r="A39" s="408" t="s">
        <v>217</v>
      </c>
      <c r="B39" s="378">
        <v>24000</v>
      </c>
      <c r="C39" s="517">
        <v>426.3</v>
      </c>
      <c r="D39" s="517">
        <v>722.18</v>
      </c>
      <c r="E39" s="517">
        <v>624.20000000000005</v>
      </c>
      <c r="F39" s="517">
        <v>24.62</v>
      </c>
      <c r="G39" s="517">
        <v>308.05</v>
      </c>
      <c r="H39" s="517">
        <v>404</v>
      </c>
      <c r="I39" s="517">
        <v>657.18</v>
      </c>
      <c r="J39" s="517">
        <v>711.35</v>
      </c>
      <c r="K39" s="517">
        <v>926.63</v>
      </c>
      <c r="L39" s="517">
        <v>906.81</v>
      </c>
      <c r="M39" s="517">
        <v>714.95</v>
      </c>
      <c r="N39" s="519">
        <v>695</v>
      </c>
      <c r="O39" s="579"/>
    </row>
    <row r="40" spans="1:15">
      <c r="A40" s="408" t="s">
        <v>221</v>
      </c>
      <c r="B40" s="378">
        <v>25000</v>
      </c>
      <c r="C40" s="517">
        <v>13082</v>
      </c>
      <c r="D40" s="517">
        <v>17917.5</v>
      </c>
      <c r="E40" s="517">
        <v>23600.99</v>
      </c>
      <c r="F40" s="517">
        <v>7845.62</v>
      </c>
      <c r="G40" s="517">
        <v>17064.68</v>
      </c>
      <c r="H40" s="517">
        <v>16835.169999999998</v>
      </c>
      <c r="I40" s="517">
        <v>16259.43</v>
      </c>
      <c r="J40" s="517">
        <v>25072.09</v>
      </c>
      <c r="K40" s="517">
        <v>25289.37</v>
      </c>
      <c r="L40" s="517">
        <v>26032</v>
      </c>
      <c r="M40" s="517">
        <v>17821.04</v>
      </c>
      <c r="N40" s="519">
        <v>19107</v>
      </c>
      <c r="O40" s="579"/>
    </row>
    <row r="41" spans="1:15">
      <c r="A41" s="408" t="s">
        <v>231</v>
      </c>
      <c r="B41" s="378">
        <v>27000</v>
      </c>
      <c r="C41" s="517">
        <v>12164</v>
      </c>
      <c r="D41" s="517">
        <v>10894.66</v>
      </c>
      <c r="E41" s="517">
        <v>17023.79</v>
      </c>
      <c r="F41" s="517">
        <v>4828.84</v>
      </c>
      <c r="G41" s="517">
        <v>14366.33</v>
      </c>
      <c r="H41" s="517">
        <v>13521.61</v>
      </c>
      <c r="I41" s="517">
        <v>16008.61</v>
      </c>
      <c r="J41" s="517">
        <v>17820.990000000002</v>
      </c>
      <c r="K41" s="517">
        <v>19127.12</v>
      </c>
      <c r="L41" s="517">
        <v>19843.27</v>
      </c>
      <c r="M41" s="517">
        <v>15092.67</v>
      </c>
      <c r="N41" s="519">
        <v>18762</v>
      </c>
      <c r="O41" s="579"/>
    </row>
    <row r="42" spans="1:15" ht="11" thickBot="1">
      <c r="A42" s="409" t="s">
        <v>243</v>
      </c>
      <c r="B42" s="379">
        <v>29000</v>
      </c>
      <c r="C42" s="520">
        <v>5551</v>
      </c>
      <c r="D42" s="520">
        <v>6855.31</v>
      </c>
      <c r="E42" s="520">
        <v>8344.69</v>
      </c>
      <c r="F42" s="520">
        <v>1802.24</v>
      </c>
      <c r="G42" s="520">
        <v>8809.7000000000007</v>
      </c>
      <c r="H42" s="520">
        <v>5894.88</v>
      </c>
      <c r="I42" s="521">
        <v>6716.59</v>
      </c>
      <c r="J42" s="521">
        <v>10277.09</v>
      </c>
      <c r="K42" s="521">
        <v>10309.1</v>
      </c>
      <c r="L42" s="521">
        <v>8772.7099999999991</v>
      </c>
      <c r="M42" s="521">
        <v>10565</v>
      </c>
      <c r="N42" s="580">
        <v>7180</v>
      </c>
    </row>
    <row r="43" spans="1:15" ht="11" thickBot="1">
      <c r="A43" s="696" t="s">
        <v>0</v>
      </c>
      <c r="B43" s="697"/>
      <c r="C43" s="591">
        <f t="shared" ref="C43:I43" si="8">SUM(C33:C42)</f>
        <v>353161.08</v>
      </c>
      <c r="D43" s="591">
        <f t="shared" si="8"/>
        <v>446184.1</v>
      </c>
      <c r="E43" s="591">
        <f t="shared" si="8"/>
        <v>743899.97999999986</v>
      </c>
      <c r="F43" s="591">
        <f t="shared" si="8"/>
        <v>498029.23</v>
      </c>
      <c r="G43" s="591">
        <f t="shared" si="8"/>
        <v>704947.09</v>
      </c>
      <c r="H43" s="591">
        <f t="shared" si="8"/>
        <v>438173.82</v>
      </c>
      <c r="I43" s="591">
        <f t="shared" si="8"/>
        <v>449955.81</v>
      </c>
      <c r="J43" s="591">
        <f>SUM(J33:J42)</f>
        <v>648082.72999999986</v>
      </c>
      <c r="K43" s="591">
        <f>SUM(K33:K42)</f>
        <v>752163.63</v>
      </c>
      <c r="L43" s="592">
        <f t="shared" ref="L43:N43" si="9">SUM(L33:L42)</f>
        <v>826523.1100000001</v>
      </c>
      <c r="M43" s="592">
        <f t="shared" si="9"/>
        <v>631142.29</v>
      </c>
      <c r="N43" s="592">
        <f t="shared" si="9"/>
        <v>556789</v>
      </c>
    </row>
    <row r="44" spans="1:15" ht="15" thickBot="1">
      <c r="A44" s="698" t="s">
        <v>333</v>
      </c>
      <c r="B44" s="699"/>
      <c r="C44" s="699"/>
      <c r="D44" s="699"/>
      <c r="E44" s="699"/>
      <c r="F44" s="699"/>
      <c r="G44" s="699"/>
      <c r="H44" s="699"/>
      <c r="I44" s="699"/>
      <c r="J44" s="699"/>
      <c r="K44" s="699"/>
      <c r="L44" s="699"/>
      <c r="M44" s="699"/>
      <c r="N44" s="700"/>
    </row>
    <row r="45" spans="1:15">
      <c r="A45" s="410" t="s">
        <v>165</v>
      </c>
      <c r="B45" s="380">
        <v>6000</v>
      </c>
      <c r="C45" s="506">
        <v>24581.84</v>
      </c>
      <c r="D45" s="506">
        <v>29458.639999999999</v>
      </c>
      <c r="E45" s="506">
        <v>50775.68</v>
      </c>
      <c r="F45" s="506">
        <v>28967.81</v>
      </c>
      <c r="G45" s="506">
        <v>50412.61</v>
      </c>
      <c r="H45" s="506">
        <v>30165.85</v>
      </c>
      <c r="I45" s="506">
        <v>31371.85</v>
      </c>
      <c r="J45" s="506">
        <v>49360.5</v>
      </c>
      <c r="K45" s="506">
        <v>50599.35</v>
      </c>
      <c r="L45" s="506">
        <v>60684.13</v>
      </c>
      <c r="M45" s="506">
        <v>43674.62</v>
      </c>
      <c r="N45" s="508">
        <v>38549</v>
      </c>
    </row>
    <row r="46" spans="1:15">
      <c r="A46" s="411" t="s">
        <v>173</v>
      </c>
      <c r="B46" s="381">
        <v>7000</v>
      </c>
      <c r="C46" s="509">
        <v>0</v>
      </c>
      <c r="D46" s="509">
        <v>0</v>
      </c>
      <c r="E46" s="509">
        <v>0</v>
      </c>
      <c r="F46" s="509">
        <v>0</v>
      </c>
      <c r="G46" s="509">
        <v>0</v>
      </c>
      <c r="H46" s="509">
        <v>0</v>
      </c>
      <c r="I46" s="509">
        <v>0</v>
      </c>
      <c r="J46" s="509">
        <v>0</v>
      </c>
      <c r="K46" s="509">
        <v>0</v>
      </c>
      <c r="L46" s="509">
        <v>0</v>
      </c>
      <c r="M46" s="509">
        <v>0</v>
      </c>
      <c r="N46" s="511">
        <v>0</v>
      </c>
    </row>
    <row r="47" spans="1:15">
      <c r="A47" s="411" t="s">
        <v>179</v>
      </c>
      <c r="B47" s="381">
        <v>10000</v>
      </c>
      <c r="C47" s="509">
        <v>0</v>
      </c>
      <c r="D47" s="509">
        <v>0</v>
      </c>
      <c r="E47" s="509">
        <v>0</v>
      </c>
      <c r="F47" s="509">
        <v>0</v>
      </c>
      <c r="G47" s="509">
        <v>0</v>
      </c>
      <c r="H47" s="509">
        <v>0</v>
      </c>
      <c r="I47" s="509">
        <v>0</v>
      </c>
      <c r="J47" s="509">
        <v>0</v>
      </c>
      <c r="K47" s="509">
        <v>0</v>
      </c>
      <c r="L47" s="509">
        <v>0</v>
      </c>
      <c r="M47" s="509">
        <v>0</v>
      </c>
      <c r="N47" s="511">
        <v>0</v>
      </c>
    </row>
    <row r="48" spans="1:15">
      <c r="A48" s="411" t="s">
        <v>192</v>
      </c>
      <c r="B48" s="381">
        <v>15000</v>
      </c>
      <c r="C48" s="509">
        <v>617</v>
      </c>
      <c r="D48" s="509">
        <v>777.49</v>
      </c>
      <c r="E48" s="509">
        <v>1309.1199999999999</v>
      </c>
      <c r="F48" s="509">
        <v>871.47</v>
      </c>
      <c r="G48" s="509">
        <v>1222.99</v>
      </c>
      <c r="H48" s="509">
        <v>765.29</v>
      </c>
      <c r="I48" s="509">
        <v>784.74</v>
      </c>
      <c r="J48" s="509">
        <v>1130.4100000000001</v>
      </c>
      <c r="K48" s="509">
        <v>1337.97</v>
      </c>
      <c r="L48" s="509">
        <v>1475.86</v>
      </c>
      <c r="M48" s="509">
        <v>1104.46</v>
      </c>
      <c r="N48" s="511">
        <v>977</v>
      </c>
    </row>
    <row r="49" spans="1:14">
      <c r="A49" s="411" t="s">
        <v>195</v>
      </c>
      <c r="B49" s="381">
        <v>18000</v>
      </c>
      <c r="C49" s="509">
        <v>355575</v>
      </c>
      <c r="D49" s="509">
        <v>452905.07</v>
      </c>
      <c r="E49" s="509">
        <v>771805.1</v>
      </c>
      <c r="F49" s="509">
        <v>535540.11</v>
      </c>
      <c r="G49" s="509">
        <v>723058.53</v>
      </c>
      <c r="H49" s="509">
        <v>431051.09</v>
      </c>
      <c r="I49" s="509">
        <v>439631.74</v>
      </c>
      <c r="J49" s="509">
        <v>632452.21</v>
      </c>
      <c r="K49" s="509">
        <v>763940.39</v>
      </c>
      <c r="L49" s="509">
        <v>843023.43</v>
      </c>
      <c r="M49" s="509">
        <v>630005.85</v>
      </c>
      <c r="N49" s="511">
        <v>551565</v>
      </c>
    </row>
    <row r="50" spans="1:14">
      <c r="A50" s="411" t="s">
        <v>211</v>
      </c>
      <c r="B50" s="381">
        <v>21000</v>
      </c>
      <c r="C50" s="509">
        <v>1219</v>
      </c>
      <c r="D50" s="509">
        <v>1551.32</v>
      </c>
      <c r="E50" s="509">
        <v>2576.94</v>
      </c>
      <c r="F50" s="509">
        <v>1706.55</v>
      </c>
      <c r="G50" s="509">
        <v>2532.3000000000002</v>
      </c>
      <c r="H50" s="509">
        <v>1587.72</v>
      </c>
      <c r="I50" s="509">
        <v>1875.12</v>
      </c>
      <c r="J50" s="509">
        <v>2143.7399999999998</v>
      </c>
      <c r="K50" s="509">
        <v>2661.83</v>
      </c>
      <c r="L50" s="509">
        <v>3056.61</v>
      </c>
      <c r="M50" s="509">
        <v>2478.2399999999998</v>
      </c>
      <c r="N50" s="511">
        <v>1924</v>
      </c>
    </row>
    <row r="51" spans="1:14">
      <c r="A51" s="411" t="s">
        <v>217</v>
      </c>
      <c r="B51" s="381">
        <v>24000</v>
      </c>
      <c r="C51" s="509">
        <v>0</v>
      </c>
      <c r="D51" s="509">
        <v>0</v>
      </c>
      <c r="E51" s="509">
        <v>0</v>
      </c>
      <c r="F51" s="509">
        <v>0</v>
      </c>
      <c r="G51" s="509">
        <v>0</v>
      </c>
      <c r="H51" s="509">
        <v>0</v>
      </c>
      <c r="I51" s="509">
        <v>0</v>
      </c>
      <c r="J51" s="509">
        <v>0</v>
      </c>
      <c r="K51" s="509">
        <v>0</v>
      </c>
      <c r="L51" s="509">
        <v>0</v>
      </c>
      <c r="M51" s="509">
        <v>0</v>
      </c>
      <c r="N51" s="511">
        <v>0</v>
      </c>
    </row>
    <row r="52" spans="1:14">
      <c r="A52" s="411" t="s">
        <v>221</v>
      </c>
      <c r="B52" s="381">
        <v>25000</v>
      </c>
      <c r="C52" s="509">
        <v>44812</v>
      </c>
      <c r="D52" s="509">
        <v>57838.3</v>
      </c>
      <c r="E52" s="509">
        <v>91256.99</v>
      </c>
      <c r="F52" s="509">
        <v>53408.02</v>
      </c>
      <c r="G52" s="509">
        <v>80601.27</v>
      </c>
      <c r="H52" s="509">
        <v>55495.92</v>
      </c>
      <c r="I52" s="509">
        <v>55969.88</v>
      </c>
      <c r="J52" s="509">
        <v>82163.89</v>
      </c>
      <c r="K52" s="509">
        <v>93156.51</v>
      </c>
      <c r="L52" s="509">
        <v>101018.22</v>
      </c>
      <c r="M52" s="509">
        <v>74047.05</v>
      </c>
      <c r="N52" s="511">
        <v>68626</v>
      </c>
    </row>
    <row r="53" spans="1:14">
      <c r="A53" s="411" t="s">
        <v>231</v>
      </c>
      <c r="B53" s="381">
        <v>27000</v>
      </c>
      <c r="C53" s="509">
        <v>20184</v>
      </c>
      <c r="D53" s="509">
        <v>21305.03</v>
      </c>
      <c r="E53" s="509">
        <v>34640.68</v>
      </c>
      <c r="F53" s="509">
        <v>16989.849999999999</v>
      </c>
      <c r="G53" s="509">
        <v>30926.52</v>
      </c>
      <c r="H53" s="509">
        <v>23382.13</v>
      </c>
      <c r="I53" s="509">
        <v>25976.89</v>
      </c>
      <c r="J53" s="509">
        <v>32529.31</v>
      </c>
      <c r="K53" s="509">
        <v>36667.19</v>
      </c>
      <c r="L53" s="509">
        <v>39274.79</v>
      </c>
      <c r="M53" s="509">
        <v>29617.91</v>
      </c>
      <c r="N53" s="511">
        <v>31252</v>
      </c>
    </row>
    <row r="54" spans="1:14" ht="11" thickBot="1">
      <c r="A54" s="412" t="s">
        <v>243</v>
      </c>
      <c r="B54" s="382">
        <v>29000</v>
      </c>
      <c r="C54" s="512">
        <v>19157</v>
      </c>
      <c r="D54" s="512">
        <v>24023.34</v>
      </c>
      <c r="E54" s="512">
        <v>37465.22</v>
      </c>
      <c r="F54" s="512">
        <v>21437.73</v>
      </c>
      <c r="G54" s="512">
        <v>35946.550000000003</v>
      </c>
      <c r="H54" s="512">
        <v>22353.19</v>
      </c>
      <c r="I54" s="513">
        <v>23548.49</v>
      </c>
      <c r="J54" s="513">
        <v>34482.85</v>
      </c>
      <c r="K54" s="513">
        <v>39083.089999999997</v>
      </c>
      <c r="L54" s="513">
        <v>40685.599999999999</v>
      </c>
      <c r="M54" s="513">
        <v>34180.089999999997</v>
      </c>
      <c r="N54" s="581">
        <v>28216</v>
      </c>
    </row>
    <row r="55" spans="1:14" ht="11" thickBot="1">
      <c r="A55" s="701" t="s">
        <v>0</v>
      </c>
      <c r="B55" s="702"/>
      <c r="C55" s="593">
        <f t="shared" ref="C55:I55" si="10">SUM(C45:C54)</f>
        <v>466145.84</v>
      </c>
      <c r="D55" s="593">
        <f t="shared" si="10"/>
        <v>587859.19000000006</v>
      </c>
      <c r="E55" s="593">
        <f t="shared" si="10"/>
        <v>989829.73</v>
      </c>
      <c r="F55" s="593">
        <f t="shared" si="10"/>
        <v>658921.54</v>
      </c>
      <c r="G55" s="593">
        <f t="shared" si="10"/>
        <v>924700.77000000014</v>
      </c>
      <c r="H55" s="593">
        <f t="shared" si="10"/>
        <v>564801.18999999994</v>
      </c>
      <c r="I55" s="593">
        <f t="shared" si="10"/>
        <v>579158.71</v>
      </c>
      <c r="J55" s="593">
        <f>SUM(J45:J54)</f>
        <v>834262.91</v>
      </c>
      <c r="K55" s="593">
        <f t="shared" ref="K55:N55" si="11">SUM(K45:K54)</f>
        <v>987446.33</v>
      </c>
      <c r="L55" s="593">
        <f t="shared" si="11"/>
        <v>1089218.6400000001</v>
      </c>
      <c r="M55" s="594">
        <f t="shared" si="11"/>
        <v>815108.22</v>
      </c>
      <c r="N55" s="594">
        <f t="shared" si="11"/>
        <v>721109</v>
      </c>
    </row>
  </sheetData>
  <mergeCells count="5">
    <mergeCell ref="A1:R1"/>
    <mergeCell ref="A32:N32"/>
    <mergeCell ref="A43:B43"/>
    <mergeCell ref="A44:N44"/>
    <mergeCell ref="A55:B55"/>
  </mergeCells>
  <conditionalFormatting sqref="Q4:Q13">
    <cfRule type="cellIs" dxfId="10" priority="1" operator="lessThan">
      <formula>0</formula>
    </cfRule>
  </conditionalFormatting>
  <pageMargins left="0.25" right="0.25" top="0.25" bottom="0.25" header="0" footer="0"/>
  <pageSetup scale="81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 enableFormatConditionsCalculation="0">
    <tabColor rgb="FFFF0000"/>
    <pageSetUpPr fitToPage="1"/>
  </sheetPr>
  <dimension ref="A1:R55"/>
  <sheetViews>
    <sheetView workbookViewId="0">
      <pane ySplit="3" topLeftCell="A4" activePane="bottomLeft" state="frozen"/>
      <selection pane="bottomLeft" activeCell="L10" sqref="C10:L10"/>
    </sheetView>
  </sheetViews>
  <sheetFormatPr baseColWidth="10" defaultColWidth="9.1640625" defaultRowHeight="10" x14ac:dyDescent="0"/>
  <cols>
    <col min="1" max="1" width="16.5" style="394" bestFit="1" customWidth="1"/>
    <col min="2" max="2" width="11.5" style="394" bestFit="1" customWidth="1"/>
    <col min="3" max="3" width="7.5" style="394" bestFit="1" customWidth="1"/>
    <col min="4" max="14" width="8.6640625" style="394" bestFit="1" customWidth="1"/>
    <col min="15" max="16" width="9.5" style="394" bestFit="1" customWidth="1"/>
    <col min="17" max="17" width="8.6640625" style="394" bestFit="1" customWidth="1"/>
    <col min="18" max="16384" width="9.1640625" style="394"/>
  </cols>
  <sheetData>
    <row r="1" spans="1:18" ht="17">
      <c r="A1" s="692" t="s">
        <v>340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</row>
    <row r="2" spans="1:18" ht="11" thickBot="1">
      <c r="A2" s="383"/>
      <c r="B2" s="384"/>
    </row>
    <row r="3" spans="1:18" ht="11" thickBot="1">
      <c r="A3" s="385" t="s">
        <v>310</v>
      </c>
      <c r="B3" s="385" t="s">
        <v>311</v>
      </c>
      <c r="C3" s="385">
        <v>42005</v>
      </c>
      <c r="D3" s="385">
        <v>42036</v>
      </c>
      <c r="E3" s="385">
        <v>42064</v>
      </c>
      <c r="F3" s="385">
        <v>42095</v>
      </c>
      <c r="G3" s="385">
        <v>42125</v>
      </c>
      <c r="H3" s="385">
        <v>42156</v>
      </c>
      <c r="I3" s="385">
        <v>42186</v>
      </c>
      <c r="J3" s="385">
        <v>42217</v>
      </c>
      <c r="K3" s="385">
        <v>42248</v>
      </c>
      <c r="L3" s="385">
        <v>42278</v>
      </c>
      <c r="M3" s="385">
        <v>42309</v>
      </c>
      <c r="N3" s="385">
        <v>42339</v>
      </c>
      <c r="O3" s="393" t="s">
        <v>336</v>
      </c>
      <c r="P3" s="391" t="s">
        <v>147</v>
      </c>
      <c r="Q3" s="392" t="s">
        <v>265</v>
      </c>
      <c r="R3" s="622" t="s">
        <v>347</v>
      </c>
    </row>
    <row r="4" spans="1:18">
      <c r="A4" s="421" t="s">
        <v>165</v>
      </c>
      <c r="B4" s="422">
        <v>6000</v>
      </c>
      <c r="C4" s="423">
        <f>C33+C45</f>
        <v>25639.18</v>
      </c>
      <c r="D4" s="423">
        <f t="shared" ref="D4:N4" si="0">D33+D45</f>
        <v>34237.47</v>
      </c>
      <c r="E4" s="423">
        <f t="shared" si="0"/>
        <v>44122.09</v>
      </c>
      <c r="F4" s="423">
        <f t="shared" si="0"/>
        <v>42400.54</v>
      </c>
      <c r="G4" s="423">
        <f t="shared" si="0"/>
        <v>50671.5</v>
      </c>
      <c r="H4" s="423">
        <f t="shared" si="0"/>
        <v>37544.400000000001</v>
      </c>
      <c r="I4" s="423">
        <f t="shared" si="0"/>
        <v>39729.49</v>
      </c>
      <c r="J4" s="423">
        <f t="shared" si="0"/>
        <v>55154.46</v>
      </c>
      <c r="K4" s="423">
        <f t="shared" si="0"/>
        <v>69685.01999999999</v>
      </c>
      <c r="L4" s="423">
        <f t="shared" si="0"/>
        <v>90828.66</v>
      </c>
      <c r="M4" s="423">
        <f t="shared" si="0"/>
        <v>30468.71</v>
      </c>
      <c r="N4" s="423">
        <f t="shared" si="0"/>
        <v>46160.66</v>
      </c>
      <c r="O4" s="386">
        <f t="shared" ref="O4:O13" si="1">SUM(C4:N4)</f>
        <v>566642.18000000005</v>
      </c>
      <c r="P4" s="388">
        <f>SUM('CR 2014'!C4:N4)</f>
        <v>522311.82999999996</v>
      </c>
      <c r="Q4" s="604">
        <f t="shared" ref="Q4:Q13" si="2">O4/P4-1</f>
        <v>8.4873340892930083E-2</v>
      </c>
      <c r="R4" s="623">
        <f>O4/$O$14</f>
        <v>3.687784949993532E-2</v>
      </c>
    </row>
    <row r="5" spans="1:18">
      <c r="A5" s="421" t="s">
        <v>173</v>
      </c>
      <c r="B5" s="422">
        <v>7000</v>
      </c>
      <c r="C5" s="423">
        <f t="shared" ref="C5:N13" si="3">C34+C46</f>
        <v>0</v>
      </c>
      <c r="D5" s="423">
        <f t="shared" si="3"/>
        <v>0</v>
      </c>
      <c r="E5" s="423">
        <f t="shared" si="3"/>
        <v>0</v>
      </c>
      <c r="F5" s="423">
        <f t="shared" si="3"/>
        <v>0</v>
      </c>
      <c r="G5" s="423">
        <f t="shared" si="3"/>
        <v>0</v>
      </c>
      <c r="H5" s="423">
        <f t="shared" si="3"/>
        <v>0</v>
      </c>
      <c r="I5" s="423">
        <f t="shared" si="3"/>
        <v>0</v>
      </c>
      <c r="J5" s="423">
        <f t="shared" si="3"/>
        <v>0</v>
      </c>
      <c r="K5" s="423">
        <f t="shared" si="3"/>
        <v>0</v>
      </c>
      <c r="L5" s="423">
        <f t="shared" si="3"/>
        <v>0</v>
      </c>
      <c r="M5" s="423">
        <f t="shared" si="3"/>
        <v>0</v>
      </c>
      <c r="N5" s="423">
        <f t="shared" si="3"/>
        <v>0</v>
      </c>
      <c r="O5" s="386">
        <f t="shared" si="1"/>
        <v>0</v>
      </c>
      <c r="P5" s="388">
        <f>SUM('CR 2014'!C5:N5)</f>
        <v>0</v>
      </c>
      <c r="Q5" s="604" t="e">
        <f t="shared" si="2"/>
        <v>#DIV/0!</v>
      </c>
      <c r="R5" s="623">
        <f t="shared" ref="R5:R14" si="4">O5/$O$14</f>
        <v>0</v>
      </c>
    </row>
    <row r="6" spans="1:18">
      <c r="A6" s="421" t="s">
        <v>179</v>
      </c>
      <c r="B6" s="422">
        <v>10000</v>
      </c>
      <c r="C6" s="423">
        <f t="shared" si="3"/>
        <v>4574.8100000000004</v>
      </c>
      <c r="D6" s="423">
        <f t="shared" si="3"/>
        <v>3145.8</v>
      </c>
      <c r="E6" s="423">
        <f t="shared" si="3"/>
        <v>990.03</v>
      </c>
      <c r="F6" s="423">
        <f t="shared" si="3"/>
        <v>1589.3</v>
      </c>
      <c r="G6" s="423">
        <f t="shared" si="3"/>
        <v>12219.9</v>
      </c>
      <c r="H6" s="423">
        <f t="shared" si="3"/>
        <v>17250.02</v>
      </c>
      <c r="I6" s="423">
        <f t="shared" si="3"/>
        <v>10351.94</v>
      </c>
      <c r="J6" s="423">
        <f t="shared" si="3"/>
        <v>22770.23</v>
      </c>
      <c r="K6" s="423">
        <f t="shared" si="3"/>
        <v>9506.83</v>
      </c>
      <c r="L6" s="423">
        <f t="shared" si="3"/>
        <v>8680.25</v>
      </c>
      <c r="M6" s="423">
        <f t="shared" si="3"/>
        <v>15136.17</v>
      </c>
      <c r="N6" s="423">
        <f t="shared" si="3"/>
        <v>14279.46</v>
      </c>
      <c r="O6" s="386">
        <f t="shared" si="1"/>
        <v>120494.73999999999</v>
      </c>
      <c r="P6" s="388">
        <f>SUM('CR 2014'!C6:N6)</f>
        <v>89025.600000000006</v>
      </c>
      <c r="Q6" s="604">
        <f t="shared" si="2"/>
        <v>0.35348416635215019</v>
      </c>
      <c r="R6" s="623">
        <f t="shared" si="4"/>
        <v>7.8419627837338825E-3</v>
      </c>
    </row>
    <row r="7" spans="1:18">
      <c r="A7" s="421" t="s">
        <v>192</v>
      </c>
      <c r="B7" s="422">
        <v>15000</v>
      </c>
      <c r="C7" s="423">
        <f t="shared" si="3"/>
        <v>491.17</v>
      </c>
      <c r="D7" s="423">
        <f t="shared" si="3"/>
        <v>749.44</v>
      </c>
      <c r="E7" s="423">
        <f t="shared" si="3"/>
        <v>1063.71</v>
      </c>
      <c r="F7" s="423">
        <f t="shared" si="3"/>
        <v>1022.27</v>
      </c>
      <c r="G7" s="423">
        <f t="shared" si="3"/>
        <v>1077.96</v>
      </c>
      <c r="H7" s="423">
        <f t="shared" si="3"/>
        <v>760.84</v>
      </c>
      <c r="I7" s="423">
        <f t="shared" si="3"/>
        <v>784.67</v>
      </c>
      <c r="J7" s="423">
        <f t="shared" si="3"/>
        <v>1403.54</v>
      </c>
      <c r="K7" s="423">
        <f t="shared" si="3"/>
        <v>1200.78</v>
      </c>
      <c r="L7" s="423">
        <f t="shared" si="3"/>
        <v>1434.63</v>
      </c>
      <c r="M7" s="423">
        <f t="shared" si="3"/>
        <v>906.4799999999999</v>
      </c>
      <c r="N7" s="423">
        <f t="shared" si="3"/>
        <v>897.96</v>
      </c>
      <c r="O7" s="386">
        <f t="shared" si="1"/>
        <v>11793.45</v>
      </c>
      <c r="P7" s="388">
        <f>SUM('CR 2014'!C7:N7)</f>
        <v>10642.51</v>
      </c>
      <c r="Q7" s="604">
        <f t="shared" si="2"/>
        <v>0.10814554085455419</v>
      </c>
      <c r="R7" s="623">
        <f t="shared" si="4"/>
        <v>7.6753388564369178E-4</v>
      </c>
    </row>
    <row r="8" spans="1:18">
      <c r="A8" s="421" t="s">
        <v>195</v>
      </c>
      <c r="B8" s="422">
        <v>18000</v>
      </c>
      <c r="C8" s="423">
        <f t="shared" si="3"/>
        <v>543477.05000000005</v>
      </c>
      <c r="D8" s="423">
        <f t="shared" si="3"/>
        <v>851417.7</v>
      </c>
      <c r="E8" s="423">
        <f t="shared" si="3"/>
        <v>1249335.95</v>
      </c>
      <c r="F8" s="423">
        <f t="shared" si="3"/>
        <v>1198713.3700000001</v>
      </c>
      <c r="G8" s="423">
        <f t="shared" si="3"/>
        <v>1241162.5</v>
      </c>
      <c r="H8" s="423">
        <f t="shared" si="3"/>
        <v>855652.07000000007</v>
      </c>
      <c r="I8" s="423">
        <f t="shared" si="3"/>
        <v>853759.1</v>
      </c>
      <c r="J8" s="423">
        <f t="shared" si="3"/>
        <v>1148497.9099999999</v>
      </c>
      <c r="K8" s="423">
        <f t="shared" si="3"/>
        <v>1312468.28</v>
      </c>
      <c r="L8" s="423">
        <f t="shared" si="3"/>
        <v>1547415.22</v>
      </c>
      <c r="M8" s="423">
        <f t="shared" si="3"/>
        <v>956726.16999999993</v>
      </c>
      <c r="N8" s="423">
        <f t="shared" si="3"/>
        <v>982991.37</v>
      </c>
      <c r="O8" s="386">
        <f t="shared" si="1"/>
        <v>12741616.689999999</v>
      </c>
      <c r="P8" s="388">
        <f>SUM('CR 2014'!C8:N8)</f>
        <v>12256859.5</v>
      </c>
      <c r="Q8" s="604">
        <f t="shared" si="2"/>
        <v>3.9549869197733623E-2</v>
      </c>
      <c r="R8" s="623">
        <f t="shared" si="4"/>
        <v>0.82924187302767327</v>
      </c>
    </row>
    <row r="9" spans="1:18">
      <c r="A9" s="421" t="s">
        <v>211</v>
      </c>
      <c r="B9" s="422">
        <v>21000</v>
      </c>
      <c r="C9" s="423">
        <f t="shared" si="3"/>
        <v>1081.8899999999999</v>
      </c>
      <c r="D9" s="423">
        <f t="shared" si="3"/>
        <v>1655.1499999999999</v>
      </c>
      <c r="E9" s="423">
        <f t="shared" si="3"/>
        <v>2193.6099999999997</v>
      </c>
      <c r="F9" s="423">
        <f t="shared" si="3"/>
        <v>2241.7399999999998</v>
      </c>
      <c r="G9" s="423">
        <f t="shared" si="3"/>
        <v>2238.7800000000002</v>
      </c>
      <c r="H9" s="423">
        <f t="shared" si="3"/>
        <v>1573.97</v>
      </c>
      <c r="I9" s="423">
        <f t="shared" si="3"/>
        <v>1859.23</v>
      </c>
      <c r="J9" s="423">
        <f t="shared" si="3"/>
        <v>2140.2799999999997</v>
      </c>
      <c r="K9" s="423">
        <f t="shared" si="3"/>
        <v>2351.4299999999998</v>
      </c>
      <c r="L9" s="423">
        <f t="shared" si="3"/>
        <v>2831.56</v>
      </c>
      <c r="M9" s="423">
        <f t="shared" si="3"/>
        <v>2026.6</v>
      </c>
      <c r="N9" s="423">
        <f t="shared" si="3"/>
        <v>1813.7199999999998</v>
      </c>
      <c r="O9" s="386">
        <f t="shared" si="1"/>
        <v>24007.96</v>
      </c>
      <c r="P9" s="388">
        <f>SUM('CR 2014'!C9:N9)</f>
        <v>27098.93</v>
      </c>
      <c r="Q9" s="620">
        <f t="shared" si="2"/>
        <v>-0.1140624371515776</v>
      </c>
      <c r="R9" s="623">
        <f t="shared" si="4"/>
        <v>1.5624709330330246E-3</v>
      </c>
    </row>
    <row r="10" spans="1:18">
      <c r="A10" s="421" t="s">
        <v>217</v>
      </c>
      <c r="B10" s="422">
        <v>24000</v>
      </c>
      <c r="C10" s="423">
        <f t="shared" si="3"/>
        <v>1025.1300000000001</v>
      </c>
      <c r="D10" s="423">
        <f t="shared" si="3"/>
        <v>1188.73</v>
      </c>
      <c r="E10" s="423">
        <f t="shared" si="3"/>
        <v>1012.46</v>
      </c>
      <c r="F10" s="423">
        <f t="shared" si="3"/>
        <v>714.75</v>
      </c>
      <c r="G10" s="423">
        <f t="shared" si="3"/>
        <v>1281.03</v>
      </c>
      <c r="H10" s="423">
        <f t="shared" si="3"/>
        <v>1180.6300000000001</v>
      </c>
      <c r="I10" s="423">
        <f t="shared" si="3"/>
        <v>623.52</v>
      </c>
      <c r="J10" s="423">
        <f t="shared" si="3"/>
        <v>1073.3900000000001</v>
      </c>
      <c r="K10" s="423">
        <f t="shared" si="3"/>
        <v>863.4</v>
      </c>
      <c r="L10" s="423">
        <f t="shared" si="3"/>
        <v>1068.02</v>
      </c>
      <c r="M10" s="423">
        <f t="shared" si="3"/>
        <v>93.46</v>
      </c>
      <c r="N10" s="423">
        <f t="shared" si="3"/>
        <v>643.05999999999995</v>
      </c>
      <c r="O10" s="386">
        <f t="shared" si="1"/>
        <v>10767.58</v>
      </c>
      <c r="P10" s="388">
        <f>SUM('CR 2014'!C10:N10)</f>
        <v>13398.119999999999</v>
      </c>
      <c r="Q10" s="620">
        <f t="shared" si="2"/>
        <v>-0.19633650094192312</v>
      </c>
      <c r="R10" s="623">
        <f t="shared" si="4"/>
        <v>7.0076886037413158E-4</v>
      </c>
    </row>
    <row r="11" spans="1:18">
      <c r="A11" s="421" t="s">
        <v>221</v>
      </c>
      <c r="B11" s="422">
        <v>25000</v>
      </c>
      <c r="C11" s="423">
        <f t="shared" si="3"/>
        <v>50556.479999999996</v>
      </c>
      <c r="D11" s="423">
        <f t="shared" si="3"/>
        <v>69720.92</v>
      </c>
      <c r="E11" s="423">
        <f t="shared" si="3"/>
        <v>84638.29</v>
      </c>
      <c r="F11" s="423">
        <f t="shared" si="3"/>
        <v>80903.25</v>
      </c>
      <c r="G11" s="423">
        <f t="shared" si="3"/>
        <v>88166.47</v>
      </c>
      <c r="H11" s="423">
        <f t="shared" si="3"/>
        <v>72492.289999999994</v>
      </c>
      <c r="I11" s="423">
        <f t="shared" si="3"/>
        <v>70090.14</v>
      </c>
      <c r="J11" s="423">
        <f t="shared" si="3"/>
        <v>94492.920000000013</v>
      </c>
      <c r="K11" s="423">
        <f t="shared" si="3"/>
        <v>108716.70000000001</v>
      </c>
      <c r="L11" s="423">
        <f t="shared" si="3"/>
        <v>137768.51</v>
      </c>
      <c r="M11" s="423">
        <f t="shared" si="3"/>
        <v>56844.78</v>
      </c>
      <c r="N11" s="423">
        <f t="shared" si="3"/>
        <v>78135.05</v>
      </c>
      <c r="O11" s="386">
        <f t="shared" si="1"/>
        <v>992525.8</v>
      </c>
      <c r="P11" s="388">
        <f>SUM('CR 2014'!C11:N11)</f>
        <v>923380.8600000001</v>
      </c>
      <c r="Q11" s="604">
        <f t="shared" si="2"/>
        <v>7.4882362192346008E-2</v>
      </c>
      <c r="R11" s="623">
        <f t="shared" si="4"/>
        <v>6.459493904460642E-2</v>
      </c>
    </row>
    <row r="12" spans="1:18">
      <c r="A12" s="421" t="s">
        <v>231</v>
      </c>
      <c r="B12" s="422">
        <v>27000</v>
      </c>
      <c r="C12" s="423">
        <f t="shared" si="3"/>
        <v>26050.02</v>
      </c>
      <c r="D12" s="423">
        <f t="shared" si="3"/>
        <v>28782.61</v>
      </c>
      <c r="E12" s="423">
        <f t="shared" si="3"/>
        <v>32468.23</v>
      </c>
      <c r="F12" s="423">
        <f t="shared" si="3"/>
        <v>32463.35</v>
      </c>
      <c r="G12" s="423">
        <f t="shared" si="3"/>
        <v>40530.86</v>
      </c>
      <c r="H12" s="423">
        <f t="shared" si="3"/>
        <v>36806.410000000003</v>
      </c>
      <c r="I12" s="423">
        <f t="shared" si="3"/>
        <v>40560.839999999997</v>
      </c>
      <c r="J12" s="423">
        <f t="shared" si="3"/>
        <v>45849.27</v>
      </c>
      <c r="K12" s="423">
        <f t="shared" si="3"/>
        <v>48483.12</v>
      </c>
      <c r="L12" s="423">
        <f t="shared" si="3"/>
        <v>55353.11</v>
      </c>
      <c r="M12" s="423">
        <f t="shared" si="3"/>
        <v>33633.29</v>
      </c>
      <c r="N12" s="423">
        <f t="shared" si="3"/>
        <v>45254.729999999996</v>
      </c>
      <c r="O12" s="386">
        <f t="shared" si="1"/>
        <v>466235.83999999997</v>
      </c>
      <c r="P12" s="388">
        <f>SUM('CR 2014'!C12:N12)</f>
        <v>423905.20000000007</v>
      </c>
      <c r="Q12" s="604">
        <f t="shared" si="2"/>
        <v>9.9858742001749157E-2</v>
      </c>
      <c r="R12" s="623">
        <f t="shared" si="4"/>
        <v>3.0343267313767432E-2</v>
      </c>
    </row>
    <row r="13" spans="1:18" ht="11" thickBot="1">
      <c r="A13" s="421" t="s">
        <v>243</v>
      </c>
      <c r="B13" s="427">
        <v>29000</v>
      </c>
      <c r="C13" s="423">
        <f t="shared" si="3"/>
        <v>20499.009999999998</v>
      </c>
      <c r="D13" s="423">
        <f t="shared" si="3"/>
        <v>32374.69</v>
      </c>
      <c r="E13" s="423">
        <f t="shared" si="3"/>
        <v>32940.910000000003</v>
      </c>
      <c r="F13" s="423">
        <f t="shared" si="3"/>
        <v>32651.32</v>
      </c>
      <c r="G13" s="423">
        <f t="shared" si="3"/>
        <v>42295.03</v>
      </c>
      <c r="H13" s="423">
        <f t="shared" si="3"/>
        <v>30000.059999999998</v>
      </c>
      <c r="I13" s="423">
        <f>I42+I54</f>
        <v>31474.720000000001</v>
      </c>
      <c r="J13" s="423">
        <f t="shared" si="3"/>
        <v>46099.57</v>
      </c>
      <c r="K13" s="423">
        <f t="shared" si="3"/>
        <v>45944.78</v>
      </c>
      <c r="L13" s="423">
        <f t="shared" si="3"/>
        <v>62630.07</v>
      </c>
      <c r="M13" s="423">
        <f t="shared" si="3"/>
        <v>21488.679999999997</v>
      </c>
      <c r="N13" s="423">
        <f t="shared" si="3"/>
        <v>32897.160000000003</v>
      </c>
      <c r="O13" s="387">
        <f t="shared" si="1"/>
        <v>431296</v>
      </c>
      <c r="P13" s="388">
        <f>SUM('CR 2014'!C13:N13)</f>
        <v>395932.95</v>
      </c>
      <c r="Q13" s="644">
        <f t="shared" si="2"/>
        <v>8.9315754094222211E-2</v>
      </c>
      <c r="R13" s="624">
        <f t="shared" si="4"/>
        <v>2.8069334651232816E-2</v>
      </c>
    </row>
    <row r="14" spans="1:18" ht="11" thickBot="1">
      <c r="A14" s="402" t="s">
        <v>312</v>
      </c>
      <c r="B14" s="402" t="s">
        <v>313</v>
      </c>
      <c r="C14" s="402">
        <f>SUM(C4:C13)</f>
        <v>673394.74000000011</v>
      </c>
      <c r="D14" s="402">
        <f t="shared" ref="D14:N14" si="5">SUM(D4:D13)</f>
        <v>1023272.5099999999</v>
      </c>
      <c r="E14" s="402">
        <f t="shared" si="5"/>
        <v>1448765.28</v>
      </c>
      <c r="F14" s="402">
        <f t="shared" si="5"/>
        <v>1392699.8900000004</v>
      </c>
      <c r="G14" s="402">
        <f t="shared" si="5"/>
        <v>1479644.0300000003</v>
      </c>
      <c r="H14" s="402">
        <f t="shared" si="5"/>
        <v>1053260.6900000002</v>
      </c>
      <c r="I14" s="402">
        <f t="shared" si="5"/>
        <v>1049233.6499999999</v>
      </c>
      <c r="J14" s="402">
        <f t="shared" si="5"/>
        <v>1417481.5699999998</v>
      </c>
      <c r="K14" s="402">
        <f t="shared" si="5"/>
        <v>1599220.3399999999</v>
      </c>
      <c r="L14" s="402">
        <f t="shared" si="5"/>
        <v>1908010.0300000003</v>
      </c>
      <c r="M14" s="402">
        <f t="shared" si="5"/>
        <v>1117324.3399999999</v>
      </c>
      <c r="N14" s="402">
        <f t="shared" si="5"/>
        <v>1203073.17</v>
      </c>
      <c r="O14" s="406">
        <f>SUM(O4:O13)</f>
        <v>15365380.24</v>
      </c>
      <c r="P14" s="558">
        <f>SUM(P4:P13)</f>
        <v>14662555.499999996</v>
      </c>
      <c r="Q14" s="445">
        <f>O14/P14-1</f>
        <v>4.7933304668480448E-2</v>
      </c>
      <c r="R14" s="625">
        <f t="shared" si="4"/>
        <v>1</v>
      </c>
    </row>
    <row r="15" spans="1:18" ht="11" thickBot="1">
      <c r="A15" s="383" t="s">
        <v>312</v>
      </c>
      <c r="B15" s="383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</row>
    <row r="16" spans="1:18" ht="11" thickBot="1">
      <c r="A16" s="383" t="s">
        <v>312</v>
      </c>
      <c r="B16" s="582" t="s">
        <v>314</v>
      </c>
      <c r="C16" s="583">
        <f t="shared" ref="C16:N16" si="6">C14</f>
        <v>673394.74000000011</v>
      </c>
      <c r="D16" s="583">
        <f t="shared" si="6"/>
        <v>1023272.5099999999</v>
      </c>
      <c r="E16" s="583">
        <f t="shared" si="6"/>
        <v>1448765.28</v>
      </c>
      <c r="F16" s="583">
        <f t="shared" si="6"/>
        <v>1392699.8900000004</v>
      </c>
      <c r="G16" s="583">
        <f t="shared" si="6"/>
        <v>1479644.0300000003</v>
      </c>
      <c r="H16" s="583">
        <f t="shared" si="6"/>
        <v>1053260.6900000002</v>
      </c>
      <c r="I16" s="583">
        <f t="shared" si="6"/>
        <v>1049233.6499999999</v>
      </c>
      <c r="J16" s="583">
        <f t="shared" si="6"/>
        <v>1417481.5699999998</v>
      </c>
      <c r="K16" s="583">
        <f t="shared" si="6"/>
        <v>1599220.3399999999</v>
      </c>
      <c r="L16" s="583">
        <f t="shared" si="6"/>
        <v>1908010.0300000003</v>
      </c>
      <c r="M16" s="583">
        <f t="shared" si="6"/>
        <v>1117324.3399999999</v>
      </c>
      <c r="N16" s="584">
        <f t="shared" si="6"/>
        <v>1203073.17</v>
      </c>
    </row>
    <row r="17" spans="1:15" ht="11" thickBot="1">
      <c r="A17" s="383" t="s">
        <v>312</v>
      </c>
      <c r="B17" s="585" t="s">
        <v>315</v>
      </c>
      <c r="C17" s="586">
        <f>'CR 2014'!C16</f>
        <v>844009.52999999991</v>
      </c>
      <c r="D17" s="586">
        <f>'CR 2014'!D16</f>
        <v>951792.46000000008</v>
      </c>
      <c r="E17" s="586">
        <f>'CR 2014'!E16</f>
        <v>1432371.7100000002</v>
      </c>
      <c r="F17" s="586">
        <f>'CR 2014'!F16</f>
        <v>1256060.05</v>
      </c>
      <c r="G17" s="586">
        <f>'CR 2014'!G16</f>
        <v>1844270.0699999998</v>
      </c>
      <c r="H17" s="586">
        <f>'CR 2014'!H16</f>
        <v>932199.33</v>
      </c>
      <c r="I17" s="586">
        <f>'CR 2014'!I16</f>
        <v>927317.25000000012</v>
      </c>
      <c r="J17" s="586">
        <f>'CR 2014'!J16</f>
        <v>1137686.27</v>
      </c>
      <c r="K17" s="586">
        <f>'CR 2014'!K16</f>
        <v>1494677.7700000003</v>
      </c>
      <c r="L17" s="586">
        <f>'CR 2014'!L16</f>
        <v>1694743.4000000001</v>
      </c>
      <c r="M17" s="586">
        <f>'CR 2014'!M16</f>
        <v>1125544.1999999997</v>
      </c>
      <c r="N17" s="587">
        <f>'CR 2014'!N16</f>
        <v>1021883.4600000001</v>
      </c>
      <c r="O17" s="396"/>
    </row>
    <row r="18" spans="1:15" ht="11" thickBot="1">
      <c r="A18" s="383" t="s">
        <v>312</v>
      </c>
      <c r="B18" s="416" t="s">
        <v>265</v>
      </c>
      <c r="C18" s="414">
        <f t="shared" ref="C18:N18" si="7">(C16/C17)-1</f>
        <v>-0.20214794257121693</v>
      </c>
      <c r="D18" s="414">
        <f t="shared" si="7"/>
        <v>7.5100458349921961E-2</v>
      </c>
      <c r="E18" s="414">
        <f t="shared" si="7"/>
        <v>1.1445052904598185E-2</v>
      </c>
      <c r="F18" s="414">
        <f t="shared" si="7"/>
        <v>0.10878448048721889</v>
      </c>
      <c r="G18" s="414">
        <f t="shared" si="7"/>
        <v>-0.19770750820675609</v>
      </c>
      <c r="H18" s="414">
        <f t="shared" si="7"/>
        <v>0.1298663881253812</v>
      </c>
      <c r="I18" s="414">
        <f t="shared" si="7"/>
        <v>0.13147215799123746</v>
      </c>
      <c r="J18" s="414">
        <f t="shared" si="7"/>
        <v>0.24593361753412024</v>
      </c>
      <c r="K18" s="414">
        <f t="shared" si="7"/>
        <v>6.9943215921381974E-2</v>
      </c>
      <c r="L18" s="414">
        <f t="shared" si="7"/>
        <v>0.12584007112817197</v>
      </c>
      <c r="M18" s="414">
        <f t="shared" si="7"/>
        <v>-7.3030095130869332E-3</v>
      </c>
      <c r="N18" s="414">
        <f t="shared" si="7"/>
        <v>0.17730956326467973</v>
      </c>
    </row>
    <row r="19" spans="1:15" ht="11" thickBot="1"/>
    <row r="20" spans="1:15">
      <c r="A20" s="431" t="s">
        <v>316</v>
      </c>
      <c r="B20" s="432" t="s">
        <v>317</v>
      </c>
      <c r="C20" s="433" t="s">
        <v>318</v>
      </c>
      <c r="D20" s="434" t="s">
        <v>319</v>
      </c>
    </row>
    <row r="21" spans="1:15">
      <c r="A21" s="439" t="s">
        <v>165</v>
      </c>
      <c r="B21" s="440" t="s">
        <v>320</v>
      </c>
      <c r="C21" s="435">
        <v>0.03</v>
      </c>
      <c r="D21" s="436">
        <v>0.04</v>
      </c>
    </row>
    <row r="22" spans="1:15">
      <c r="A22" s="439" t="s">
        <v>173</v>
      </c>
      <c r="B22" s="440" t="s">
        <v>321</v>
      </c>
      <c r="C22" s="435">
        <v>0.03</v>
      </c>
      <c r="D22" s="436"/>
    </row>
    <row r="23" spans="1:15">
      <c r="A23" s="439" t="s">
        <v>179</v>
      </c>
      <c r="B23" s="440" t="s">
        <v>322</v>
      </c>
      <c r="C23" s="435">
        <v>0.03</v>
      </c>
      <c r="D23" s="436"/>
    </row>
    <row r="24" spans="1:15">
      <c r="A24" s="439" t="s">
        <v>192</v>
      </c>
      <c r="B24" s="440" t="s">
        <v>323</v>
      </c>
      <c r="C24" s="435">
        <v>0.03</v>
      </c>
      <c r="D24" s="436">
        <v>0.04</v>
      </c>
    </row>
    <row r="25" spans="1:15">
      <c r="A25" s="439" t="s">
        <v>195</v>
      </c>
      <c r="B25" s="440" t="s">
        <v>324</v>
      </c>
      <c r="C25" s="435">
        <v>0.03</v>
      </c>
      <c r="D25" s="436">
        <v>0.04</v>
      </c>
    </row>
    <row r="26" spans="1:15">
      <c r="A26" s="439" t="s">
        <v>211</v>
      </c>
      <c r="B26" s="440" t="s">
        <v>325</v>
      </c>
      <c r="C26" s="435">
        <v>0.03</v>
      </c>
      <c r="D26" s="436">
        <v>0.04</v>
      </c>
    </row>
    <row r="27" spans="1:15">
      <c r="A27" s="439" t="s">
        <v>217</v>
      </c>
      <c r="B27" s="440" t="s">
        <v>326</v>
      </c>
      <c r="C27" s="435">
        <v>0.03</v>
      </c>
      <c r="D27" s="436"/>
      <c r="I27" s="595"/>
    </row>
    <row r="28" spans="1:15">
      <c r="A28" s="439" t="s">
        <v>221</v>
      </c>
      <c r="B28" s="440" t="s">
        <v>327</v>
      </c>
      <c r="C28" s="435">
        <v>0.03</v>
      </c>
      <c r="D28" s="436">
        <v>0.04</v>
      </c>
    </row>
    <row r="29" spans="1:15">
      <c r="A29" s="439" t="s">
        <v>231</v>
      </c>
      <c r="B29" s="440" t="s">
        <v>328</v>
      </c>
      <c r="C29" s="435">
        <v>0.03</v>
      </c>
      <c r="D29" s="436">
        <v>0.04</v>
      </c>
    </row>
    <row r="30" spans="1:15" ht="11" thickBot="1">
      <c r="A30" s="441" t="s">
        <v>243</v>
      </c>
      <c r="B30" s="442" t="s">
        <v>329</v>
      </c>
      <c r="C30" s="437">
        <v>0.03</v>
      </c>
      <c r="D30" s="438">
        <v>0.04</v>
      </c>
    </row>
    <row r="31" spans="1:15" ht="11" thickBot="1"/>
    <row r="32" spans="1:15" ht="15" thickBot="1">
      <c r="A32" s="693" t="s">
        <v>332</v>
      </c>
      <c r="B32" s="694"/>
      <c r="C32" s="694"/>
      <c r="D32" s="694"/>
      <c r="E32" s="694"/>
      <c r="F32" s="694"/>
      <c r="G32" s="694"/>
      <c r="H32" s="694"/>
      <c r="I32" s="694"/>
      <c r="J32" s="694"/>
      <c r="K32" s="694"/>
      <c r="L32" s="694"/>
      <c r="M32" s="694"/>
      <c r="N32" s="695"/>
    </row>
    <row r="33" spans="1:15">
      <c r="A33" s="407" t="s">
        <v>165</v>
      </c>
      <c r="B33" s="377">
        <v>6000</v>
      </c>
      <c r="C33" s="514">
        <v>5217.84</v>
      </c>
      <c r="D33" s="514">
        <v>5435.61</v>
      </c>
      <c r="E33" s="514">
        <v>5352.52</v>
      </c>
      <c r="F33" s="514">
        <v>5142.67</v>
      </c>
      <c r="G33" s="514">
        <v>8506.1299999999992</v>
      </c>
      <c r="H33" s="514">
        <v>6924.24</v>
      </c>
      <c r="I33" s="514">
        <v>7935.64</v>
      </c>
      <c r="J33" s="514">
        <v>11596.46</v>
      </c>
      <c r="K33" s="514">
        <v>16740.57</v>
      </c>
      <c r="L33" s="514">
        <v>23917.8</v>
      </c>
      <c r="M33" s="514">
        <v>2370.0100000000002</v>
      </c>
      <c r="N33" s="516">
        <v>9441.01</v>
      </c>
      <c r="O33" s="579"/>
    </row>
    <row r="34" spans="1:15">
      <c r="A34" s="408" t="s">
        <v>173</v>
      </c>
      <c r="B34" s="378">
        <v>7000</v>
      </c>
      <c r="C34" s="517">
        <v>0</v>
      </c>
      <c r="D34" s="517">
        <v>0</v>
      </c>
      <c r="E34" s="517">
        <v>0</v>
      </c>
      <c r="F34" s="517">
        <v>0</v>
      </c>
      <c r="G34" s="517">
        <v>0</v>
      </c>
      <c r="H34" s="517">
        <v>0</v>
      </c>
      <c r="I34" s="517">
        <v>0</v>
      </c>
      <c r="J34" s="517">
        <v>0</v>
      </c>
      <c r="K34" s="517">
        <v>0</v>
      </c>
      <c r="L34" s="517">
        <v>0</v>
      </c>
      <c r="M34" s="517">
        <v>0</v>
      </c>
      <c r="N34" s="519">
        <v>0</v>
      </c>
      <c r="O34" s="579"/>
    </row>
    <row r="35" spans="1:15">
      <c r="A35" s="408" t="s">
        <v>179</v>
      </c>
      <c r="B35" s="378">
        <v>10000</v>
      </c>
      <c r="C35" s="517">
        <v>4574.8100000000004</v>
      </c>
      <c r="D35" s="517">
        <v>3145.8</v>
      </c>
      <c r="E35" s="517">
        <v>990.03</v>
      </c>
      <c r="F35" s="517">
        <v>1589.3</v>
      </c>
      <c r="G35" s="517">
        <v>12219.9</v>
      </c>
      <c r="H35" s="517">
        <v>17250.02</v>
      </c>
      <c r="I35" s="517">
        <v>10351.94</v>
      </c>
      <c r="J35" s="517">
        <v>22770.23</v>
      </c>
      <c r="K35" s="517">
        <v>9506.83</v>
      </c>
      <c r="L35" s="517">
        <v>8680.25</v>
      </c>
      <c r="M35" s="517">
        <v>15136.17</v>
      </c>
      <c r="N35" s="519">
        <v>14279.46</v>
      </c>
      <c r="O35" s="579"/>
    </row>
    <row r="36" spans="1:15">
      <c r="A36" s="408" t="s">
        <v>192</v>
      </c>
      <c r="B36" s="378">
        <v>15000</v>
      </c>
      <c r="C36" s="517">
        <v>0</v>
      </c>
      <c r="D36" s="517">
        <v>0</v>
      </c>
      <c r="E36" s="517">
        <v>0</v>
      </c>
      <c r="F36" s="517">
        <v>0</v>
      </c>
      <c r="G36" s="517">
        <v>0</v>
      </c>
      <c r="H36" s="517">
        <v>0</v>
      </c>
      <c r="I36" s="517">
        <v>0</v>
      </c>
      <c r="J36" s="517">
        <v>181.18</v>
      </c>
      <c r="K36" s="517">
        <v>0</v>
      </c>
      <c r="L36" s="517">
        <v>0</v>
      </c>
      <c r="M36" s="517">
        <v>38.049999999999997</v>
      </c>
      <c r="N36" s="519">
        <v>0</v>
      </c>
      <c r="O36" s="579"/>
    </row>
    <row r="37" spans="1:15">
      <c r="A37" s="408" t="s">
        <v>195</v>
      </c>
      <c r="B37" s="378">
        <v>18000</v>
      </c>
      <c r="C37" s="517">
        <v>254144.45</v>
      </c>
      <c r="D37" s="517">
        <v>399245.56</v>
      </c>
      <c r="E37" s="517">
        <v>587812.93999999994</v>
      </c>
      <c r="F37" s="517">
        <v>563903.98</v>
      </c>
      <c r="G37" s="517">
        <v>582803.05000000005</v>
      </c>
      <c r="H37" s="517">
        <v>400810.07</v>
      </c>
      <c r="I37" s="517">
        <v>399829.17</v>
      </c>
      <c r="J37" s="517">
        <v>537982.97</v>
      </c>
      <c r="K37" s="517">
        <v>614941.61</v>
      </c>
      <c r="L37" s="517">
        <v>724017.9</v>
      </c>
      <c r="M37" s="517">
        <v>450519.81</v>
      </c>
      <c r="N37" s="519">
        <v>460643.13</v>
      </c>
      <c r="O37" s="579"/>
    </row>
    <row r="38" spans="1:15">
      <c r="A38" s="408" t="s">
        <v>211</v>
      </c>
      <c r="B38" s="378">
        <v>21000</v>
      </c>
      <c r="C38" s="517">
        <v>38.85</v>
      </c>
      <c r="D38" s="517">
        <v>61.54</v>
      </c>
      <c r="E38" s="517">
        <v>6.87</v>
      </c>
      <c r="F38" s="517">
        <v>75.7</v>
      </c>
      <c r="G38" s="517">
        <v>15.13</v>
      </c>
      <c r="H38" s="517">
        <v>7.47</v>
      </c>
      <c r="I38" s="517">
        <v>166.89</v>
      </c>
      <c r="J38" s="517">
        <v>40.22</v>
      </c>
      <c r="K38" s="517">
        <v>0</v>
      </c>
      <c r="L38" s="517">
        <v>11.49</v>
      </c>
      <c r="M38" s="517">
        <v>204.6</v>
      </c>
      <c r="N38" s="519">
        <v>28.61</v>
      </c>
      <c r="O38" s="579"/>
    </row>
    <row r="39" spans="1:15">
      <c r="A39" s="408" t="s">
        <v>217</v>
      </c>
      <c r="B39" s="378">
        <v>24000</v>
      </c>
      <c r="C39" s="517">
        <v>1025.1300000000001</v>
      </c>
      <c r="D39" s="517">
        <v>1188.73</v>
      </c>
      <c r="E39" s="517">
        <v>1012.46</v>
      </c>
      <c r="F39" s="517">
        <v>714.75</v>
      </c>
      <c r="G39" s="517">
        <v>1281.03</v>
      </c>
      <c r="H39" s="517">
        <v>1180.6300000000001</v>
      </c>
      <c r="I39" s="517">
        <v>623.52</v>
      </c>
      <c r="J39" s="517">
        <v>1073.3900000000001</v>
      </c>
      <c r="K39" s="517">
        <v>863.4</v>
      </c>
      <c r="L39" s="517">
        <v>1068.02</v>
      </c>
      <c r="M39" s="517">
        <v>93.46</v>
      </c>
      <c r="N39" s="519">
        <v>643.05999999999995</v>
      </c>
      <c r="O39" s="579"/>
    </row>
    <row r="40" spans="1:15">
      <c r="A40" s="408" t="s">
        <v>221</v>
      </c>
      <c r="B40" s="378">
        <v>25000</v>
      </c>
      <c r="C40" s="517">
        <v>12367.27</v>
      </c>
      <c r="D40" s="517">
        <v>15032.66</v>
      </c>
      <c r="E40" s="517">
        <v>13930.12</v>
      </c>
      <c r="F40" s="517">
        <v>13161.1</v>
      </c>
      <c r="G40" s="517">
        <v>15355.2</v>
      </c>
      <c r="H40" s="517">
        <v>16146.33</v>
      </c>
      <c r="I40" s="517">
        <v>14790.52</v>
      </c>
      <c r="J40" s="517">
        <v>20066.18</v>
      </c>
      <c r="K40" s="517">
        <v>23387.85</v>
      </c>
      <c r="L40" s="517">
        <v>32018.44</v>
      </c>
      <c r="M40" s="517">
        <v>6619.82</v>
      </c>
      <c r="N40" s="519">
        <v>15853.07</v>
      </c>
      <c r="O40" s="579"/>
    </row>
    <row r="41" spans="1:15">
      <c r="A41" s="408" t="s">
        <v>231</v>
      </c>
      <c r="B41" s="378">
        <v>27000</v>
      </c>
      <c r="C41" s="517">
        <v>9783.07</v>
      </c>
      <c r="D41" s="517">
        <v>9255.6200000000008</v>
      </c>
      <c r="E41" s="517">
        <v>8800.34</v>
      </c>
      <c r="F41" s="517">
        <v>9109.26</v>
      </c>
      <c r="G41" s="517">
        <v>12863.59</v>
      </c>
      <c r="H41" s="517">
        <v>13320.21</v>
      </c>
      <c r="I41" s="517">
        <v>15166.17</v>
      </c>
      <c r="J41" s="517">
        <v>15911.67</v>
      </c>
      <c r="K41" s="517">
        <v>16180.94</v>
      </c>
      <c r="L41" s="517">
        <v>18001.88</v>
      </c>
      <c r="M41" s="517">
        <v>11225.52</v>
      </c>
      <c r="N41" s="519">
        <v>16754.75</v>
      </c>
      <c r="O41" s="579"/>
    </row>
    <row r="42" spans="1:15" ht="11" thickBot="1">
      <c r="A42" s="409" t="s">
        <v>243</v>
      </c>
      <c r="B42" s="379">
        <v>29000</v>
      </c>
      <c r="C42" s="520">
        <v>4646.3</v>
      </c>
      <c r="D42" s="520">
        <v>7656.73</v>
      </c>
      <c r="E42" s="520">
        <v>4138.41</v>
      </c>
      <c r="F42" s="520">
        <v>4491.21</v>
      </c>
      <c r="G42" s="520">
        <v>8803.9500000000007</v>
      </c>
      <c r="H42" s="520">
        <v>6290.26</v>
      </c>
      <c r="I42" s="521">
        <v>7079.39</v>
      </c>
      <c r="J42" s="521">
        <v>11494.72</v>
      </c>
      <c r="K42" s="521">
        <v>9684.77</v>
      </c>
      <c r="L42" s="521">
        <v>15573.22</v>
      </c>
      <c r="M42" s="521">
        <v>1348.51</v>
      </c>
      <c r="N42" s="580">
        <v>6486.85</v>
      </c>
    </row>
    <row r="43" spans="1:15" ht="11" thickBot="1">
      <c r="A43" s="696" t="s">
        <v>0</v>
      </c>
      <c r="B43" s="697"/>
      <c r="C43" s="591">
        <f t="shared" ref="C43:I43" si="8">SUM(C33:C42)</f>
        <v>291797.72000000003</v>
      </c>
      <c r="D43" s="591">
        <f t="shared" si="8"/>
        <v>441022.24999999988</v>
      </c>
      <c r="E43" s="591">
        <f t="shared" si="8"/>
        <v>622043.68999999994</v>
      </c>
      <c r="F43" s="591">
        <f t="shared" si="8"/>
        <v>598187.96999999986</v>
      </c>
      <c r="G43" s="591">
        <f t="shared" si="8"/>
        <v>641847.98</v>
      </c>
      <c r="H43" s="591">
        <f t="shared" si="8"/>
        <v>461929.23000000004</v>
      </c>
      <c r="I43" s="591">
        <f t="shared" si="8"/>
        <v>455943.24000000005</v>
      </c>
      <c r="J43" s="591">
        <f>SUM(J33:J42)</f>
        <v>621117.02</v>
      </c>
      <c r="K43" s="591">
        <f>SUM(K33:K42)</f>
        <v>691305.97</v>
      </c>
      <c r="L43" s="592">
        <f t="shared" ref="L43:N43" si="9">SUM(L33:L42)</f>
        <v>823289</v>
      </c>
      <c r="M43" s="592">
        <f t="shared" si="9"/>
        <v>487555.95</v>
      </c>
      <c r="N43" s="592">
        <f t="shared" si="9"/>
        <v>524129.93999999994</v>
      </c>
    </row>
    <row r="44" spans="1:15" ht="15" thickBot="1">
      <c r="A44" s="698" t="s">
        <v>333</v>
      </c>
      <c r="B44" s="699"/>
      <c r="C44" s="699"/>
      <c r="D44" s="699"/>
      <c r="E44" s="699"/>
      <c r="F44" s="699"/>
      <c r="G44" s="699"/>
      <c r="H44" s="699"/>
      <c r="I44" s="699"/>
      <c r="J44" s="699"/>
      <c r="K44" s="699"/>
      <c r="L44" s="699"/>
      <c r="M44" s="699"/>
      <c r="N44" s="700"/>
    </row>
    <row r="45" spans="1:15">
      <c r="A45" s="410" t="s">
        <v>165</v>
      </c>
      <c r="B45" s="380">
        <v>6000</v>
      </c>
      <c r="C45" s="506">
        <v>20421.34</v>
      </c>
      <c r="D45" s="506">
        <v>28801.86</v>
      </c>
      <c r="E45" s="506">
        <v>38769.57</v>
      </c>
      <c r="F45" s="506">
        <v>37257.870000000003</v>
      </c>
      <c r="G45" s="506">
        <v>42165.37</v>
      </c>
      <c r="H45" s="506">
        <v>30620.16</v>
      </c>
      <c r="I45" s="506">
        <v>31793.85</v>
      </c>
      <c r="J45" s="506">
        <v>43558</v>
      </c>
      <c r="K45" s="506">
        <v>52944.45</v>
      </c>
      <c r="L45" s="506">
        <v>66910.86</v>
      </c>
      <c r="M45" s="506">
        <v>28098.7</v>
      </c>
      <c r="N45" s="508">
        <v>36719.65</v>
      </c>
    </row>
    <row r="46" spans="1:15">
      <c r="A46" s="411" t="s">
        <v>173</v>
      </c>
      <c r="B46" s="381">
        <v>7000</v>
      </c>
      <c r="C46" s="509">
        <v>0</v>
      </c>
      <c r="D46" s="509">
        <v>0</v>
      </c>
      <c r="E46" s="509">
        <v>0</v>
      </c>
      <c r="F46" s="509">
        <v>0</v>
      </c>
      <c r="G46" s="509">
        <v>0</v>
      </c>
      <c r="H46" s="509">
        <v>0</v>
      </c>
      <c r="I46" s="509">
        <v>0</v>
      </c>
      <c r="J46" s="509">
        <v>0</v>
      </c>
      <c r="K46" s="509">
        <v>0</v>
      </c>
      <c r="L46" s="509">
        <v>0</v>
      </c>
      <c r="M46" s="509">
        <v>0</v>
      </c>
      <c r="N46" s="511">
        <v>0</v>
      </c>
    </row>
    <row r="47" spans="1:15">
      <c r="A47" s="411" t="s">
        <v>179</v>
      </c>
      <c r="B47" s="381">
        <v>10000</v>
      </c>
      <c r="C47" s="509">
        <v>0</v>
      </c>
      <c r="D47" s="509">
        <v>0</v>
      </c>
      <c r="E47" s="509">
        <v>0</v>
      </c>
      <c r="F47" s="509">
        <v>0</v>
      </c>
      <c r="G47" s="509">
        <v>0</v>
      </c>
      <c r="H47" s="509">
        <v>0</v>
      </c>
      <c r="I47" s="509">
        <v>0</v>
      </c>
      <c r="J47" s="509">
        <v>0</v>
      </c>
      <c r="K47" s="509">
        <v>0</v>
      </c>
      <c r="L47" s="509">
        <v>0</v>
      </c>
      <c r="M47" s="509">
        <v>0</v>
      </c>
      <c r="N47" s="511">
        <v>0</v>
      </c>
    </row>
    <row r="48" spans="1:15">
      <c r="A48" s="411" t="s">
        <v>192</v>
      </c>
      <c r="B48" s="381">
        <v>15000</v>
      </c>
      <c r="C48" s="509">
        <v>491.17</v>
      </c>
      <c r="D48" s="509">
        <v>749.44</v>
      </c>
      <c r="E48" s="509">
        <v>1063.71</v>
      </c>
      <c r="F48" s="509">
        <v>1022.27</v>
      </c>
      <c r="G48" s="509">
        <v>1077.96</v>
      </c>
      <c r="H48" s="509">
        <v>760.84</v>
      </c>
      <c r="I48" s="509">
        <v>784.67</v>
      </c>
      <c r="J48" s="509">
        <v>1222.3599999999999</v>
      </c>
      <c r="K48" s="509">
        <v>1200.78</v>
      </c>
      <c r="L48" s="509">
        <v>1434.63</v>
      </c>
      <c r="M48" s="509">
        <v>868.43</v>
      </c>
      <c r="N48" s="511">
        <v>897.96</v>
      </c>
    </row>
    <row r="49" spans="1:14">
      <c r="A49" s="411" t="s">
        <v>195</v>
      </c>
      <c r="B49" s="381">
        <v>18000</v>
      </c>
      <c r="C49" s="509">
        <v>289332.59999999998</v>
      </c>
      <c r="D49" s="509">
        <v>452172.14</v>
      </c>
      <c r="E49" s="509">
        <v>661523.01</v>
      </c>
      <c r="F49" s="509">
        <v>634809.39</v>
      </c>
      <c r="G49" s="509">
        <v>658359.44999999995</v>
      </c>
      <c r="H49" s="509">
        <v>454842</v>
      </c>
      <c r="I49" s="509">
        <v>453929.93</v>
      </c>
      <c r="J49" s="509">
        <v>610514.93999999994</v>
      </c>
      <c r="K49" s="509">
        <v>697526.67</v>
      </c>
      <c r="L49" s="509">
        <v>823397.32</v>
      </c>
      <c r="M49" s="509">
        <v>506206.36</v>
      </c>
      <c r="N49" s="511">
        <v>522348.24</v>
      </c>
    </row>
    <row r="50" spans="1:14">
      <c r="A50" s="411" t="s">
        <v>211</v>
      </c>
      <c r="B50" s="381">
        <v>21000</v>
      </c>
      <c r="C50" s="509">
        <v>1043.04</v>
      </c>
      <c r="D50" s="509">
        <v>1593.61</v>
      </c>
      <c r="E50" s="509">
        <v>2186.7399999999998</v>
      </c>
      <c r="F50" s="509">
        <v>2166.04</v>
      </c>
      <c r="G50" s="509">
        <v>2223.65</v>
      </c>
      <c r="H50" s="509">
        <v>1566.5</v>
      </c>
      <c r="I50" s="509">
        <v>1692.34</v>
      </c>
      <c r="J50" s="509">
        <v>2100.06</v>
      </c>
      <c r="K50" s="509">
        <v>2351.4299999999998</v>
      </c>
      <c r="L50" s="509">
        <v>2820.07</v>
      </c>
      <c r="M50" s="509">
        <v>1822</v>
      </c>
      <c r="N50" s="511">
        <v>1785.11</v>
      </c>
    </row>
    <row r="51" spans="1:14">
      <c r="A51" s="411" t="s">
        <v>217</v>
      </c>
      <c r="B51" s="381">
        <v>24000</v>
      </c>
      <c r="C51" s="509">
        <v>0</v>
      </c>
      <c r="D51" s="509">
        <v>0</v>
      </c>
      <c r="E51" s="509">
        <v>0</v>
      </c>
      <c r="F51" s="509">
        <v>0</v>
      </c>
      <c r="G51" s="509">
        <v>0</v>
      </c>
      <c r="H51" s="509">
        <v>0</v>
      </c>
      <c r="I51" s="509">
        <v>0</v>
      </c>
      <c r="J51" s="509">
        <v>0</v>
      </c>
      <c r="K51" s="509">
        <v>0</v>
      </c>
      <c r="L51" s="509">
        <v>0</v>
      </c>
      <c r="M51" s="509">
        <v>0</v>
      </c>
      <c r="N51" s="511">
        <v>0</v>
      </c>
    </row>
    <row r="52" spans="1:14">
      <c r="A52" s="411" t="s">
        <v>221</v>
      </c>
      <c r="B52" s="381">
        <v>25000</v>
      </c>
      <c r="C52" s="509">
        <v>38189.21</v>
      </c>
      <c r="D52" s="509">
        <v>54688.26</v>
      </c>
      <c r="E52" s="509">
        <v>70708.17</v>
      </c>
      <c r="F52" s="509">
        <v>67742.149999999994</v>
      </c>
      <c r="G52" s="509">
        <v>72811.27</v>
      </c>
      <c r="H52" s="509">
        <v>56345.96</v>
      </c>
      <c r="I52" s="509">
        <v>55299.62</v>
      </c>
      <c r="J52" s="509">
        <v>74426.740000000005</v>
      </c>
      <c r="K52" s="509">
        <v>85328.85</v>
      </c>
      <c r="L52" s="509">
        <v>105750.07</v>
      </c>
      <c r="M52" s="509">
        <v>50224.959999999999</v>
      </c>
      <c r="N52" s="511">
        <v>62281.98</v>
      </c>
    </row>
    <row r="53" spans="1:14">
      <c r="A53" s="411" t="s">
        <v>231</v>
      </c>
      <c r="B53" s="381">
        <v>27000</v>
      </c>
      <c r="C53" s="509">
        <v>16266.95</v>
      </c>
      <c r="D53" s="509">
        <v>19526.990000000002</v>
      </c>
      <c r="E53" s="509">
        <v>23667.89</v>
      </c>
      <c r="F53" s="509">
        <v>23354.09</v>
      </c>
      <c r="G53" s="509">
        <v>27667.27</v>
      </c>
      <c r="H53" s="509">
        <v>23486.2</v>
      </c>
      <c r="I53" s="509">
        <v>25394.67</v>
      </c>
      <c r="J53" s="509">
        <v>29937.599999999999</v>
      </c>
      <c r="K53" s="509">
        <v>32302.18</v>
      </c>
      <c r="L53" s="509">
        <v>37351.230000000003</v>
      </c>
      <c r="M53" s="509">
        <v>22407.77</v>
      </c>
      <c r="N53" s="511">
        <v>28499.98</v>
      </c>
    </row>
    <row r="54" spans="1:14" ht="11" thickBot="1">
      <c r="A54" s="412" t="s">
        <v>243</v>
      </c>
      <c r="B54" s="382">
        <v>29000</v>
      </c>
      <c r="C54" s="512">
        <v>15852.71</v>
      </c>
      <c r="D54" s="512">
        <v>24717.96</v>
      </c>
      <c r="E54" s="512">
        <v>28802.5</v>
      </c>
      <c r="F54" s="512">
        <v>28160.11</v>
      </c>
      <c r="G54" s="512">
        <v>33491.08</v>
      </c>
      <c r="H54" s="512">
        <v>23709.8</v>
      </c>
      <c r="I54" s="513">
        <v>24395.33</v>
      </c>
      <c r="J54" s="513">
        <v>34604.85</v>
      </c>
      <c r="K54" s="513">
        <v>36260.01</v>
      </c>
      <c r="L54" s="513">
        <v>47056.85</v>
      </c>
      <c r="M54" s="513">
        <v>20140.169999999998</v>
      </c>
      <c r="N54" s="581">
        <v>26410.31</v>
      </c>
    </row>
    <row r="55" spans="1:14" ht="11" thickBot="1">
      <c r="A55" s="701" t="s">
        <v>0</v>
      </c>
      <c r="B55" s="702"/>
      <c r="C55" s="593">
        <f t="shared" ref="C55:I55" si="10">SUM(C45:C54)</f>
        <v>381597.02</v>
      </c>
      <c r="D55" s="593">
        <f t="shared" si="10"/>
        <v>582250.25999999989</v>
      </c>
      <c r="E55" s="593">
        <f t="shared" si="10"/>
        <v>826721.59000000008</v>
      </c>
      <c r="F55" s="593">
        <f t="shared" si="10"/>
        <v>794511.92</v>
      </c>
      <c r="G55" s="593">
        <f t="shared" si="10"/>
        <v>837796.04999999993</v>
      </c>
      <c r="H55" s="593">
        <f t="shared" si="10"/>
        <v>591331.46</v>
      </c>
      <c r="I55" s="593">
        <f t="shared" si="10"/>
        <v>593290.41</v>
      </c>
      <c r="J55" s="593">
        <f>SUM(J45:J54)</f>
        <v>796364.54999999993</v>
      </c>
      <c r="K55" s="593">
        <f t="shared" ref="K55:N55" si="11">SUM(K45:K54)</f>
        <v>907914.37000000011</v>
      </c>
      <c r="L55" s="593">
        <f t="shared" si="11"/>
        <v>1084721.03</v>
      </c>
      <c r="M55" s="594">
        <f t="shared" si="11"/>
        <v>629768.39</v>
      </c>
      <c r="N55" s="594">
        <f t="shared" si="11"/>
        <v>678943.23</v>
      </c>
    </row>
  </sheetData>
  <mergeCells count="5">
    <mergeCell ref="A32:N32"/>
    <mergeCell ref="A43:B43"/>
    <mergeCell ref="A44:N44"/>
    <mergeCell ref="A55:B55"/>
    <mergeCell ref="A1:R1"/>
  </mergeCells>
  <pageMargins left="0.25" right="0.25" top="0.25" bottom="0.25" header="0" footer="0"/>
  <pageSetup scale="85" orientation="landscape"/>
  <ignoredErrors>
    <ignoredError sqref="Q6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 enableFormatConditionsCalculation="0">
    <tabColor theme="1"/>
    <pageSetUpPr fitToPage="1"/>
  </sheetPr>
  <dimension ref="A1:T84"/>
  <sheetViews>
    <sheetView workbookViewId="0">
      <pane ySplit="3" topLeftCell="A4" activePane="bottomLeft" state="frozen"/>
      <selection pane="bottomLeft" activeCell="B17" sqref="B17:F17"/>
    </sheetView>
  </sheetViews>
  <sheetFormatPr baseColWidth="10" defaultColWidth="8.83203125" defaultRowHeight="12" x14ac:dyDescent="0"/>
  <cols>
    <col min="1" max="1" width="11.33203125" bestFit="1" customWidth="1"/>
    <col min="2" max="2" width="8.6640625" bestFit="1" customWidth="1"/>
    <col min="3" max="3" width="9.5" customWidth="1"/>
    <col min="6" max="6" width="9.5" bestFit="1" customWidth="1"/>
    <col min="9" max="10" width="9.5" bestFit="1" customWidth="1"/>
    <col min="11" max="11" width="10.5" customWidth="1"/>
    <col min="12" max="12" width="9.5" bestFit="1" customWidth="1"/>
    <col min="14" max="14" width="10.5" customWidth="1"/>
    <col min="15" max="15" width="10.5" bestFit="1" customWidth="1"/>
    <col min="20" max="20" width="13.5" bestFit="1" customWidth="1"/>
  </cols>
  <sheetData>
    <row r="1" spans="1:19" ht="17">
      <c r="A1" s="687" t="s">
        <v>348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</row>
    <row r="2" spans="1:19" ht="13" thickBot="1">
      <c r="A2" s="47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ht="13" thickBot="1">
      <c r="A3" s="466" t="s">
        <v>42</v>
      </c>
      <c r="B3" s="467" t="s">
        <v>2</v>
      </c>
      <c r="C3" s="468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467" t="s">
        <v>8</v>
      </c>
      <c r="I3" s="467" t="s">
        <v>9</v>
      </c>
      <c r="J3" s="467" t="s">
        <v>10</v>
      </c>
      <c r="K3" s="467" t="s">
        <v>11</v>
      </c>
      <c r="L3" s="467" t="s">
        <v>12</v>
      </c>
      <c r="M3" s="469" t="s">
        <v>13</v>
      </c>
      <c r="N3" s="471" t="s">
        <v>349</v>
      </c>
      <c r="O3" s="472" t="s">
        <v>336</v>
      </c>
      <c r="P3" s="473" t="s">
        <v>16</v>
      </c>
      <c r="Q3" s="565" t="s">
        <v>58</v>
      </c>
    </row>
    <row r="4" spans="1:19">
      <c r="A4" s="92" t="s">
        <v>17</v>
      </c>
      <c r="B4" s="496">
        <f>'R 2016'!B4+'TRT 2016'!B4</f>
        <v>22134</v>
      </c>
      <c r="C4" s="496">
        <f>'R 2016'!C4+'TRT 2016'!C4</f>
        <v>39950.26</v>
      </c>
      <c r="D4" s="496">
        <f>'R 2016'!D4+'TRT 2016'!D4</f>
        <v>16981.760000000002</v>
      </c>
      <c r="E4" s="496">
        <f>'R 2016'!E4+'TRT 2016'!E4</f>
        <v>21329.760000000002</v>
      </c>
      <c r="F4" s="496">
        <f>'R 2016'!F4+'TRT 2016'!F4</f>
        <v>41377.599999999999</v>
      </c>
      <c r="G4" s="496">
        <f>'R 2016'!G4+'TRT 2016'!G4</f>
        <v>19667.14</v>
      </c>
      <c r="H4" s="496">
        <f>'R 2016'!H4+'TRT 2016'!H4</f>
        <v>28228.68</v>
      </c>
      <c r="I4" s="496">
        <f>'R 2016'!I4+'TRT 2016'!I4</f>
        <v>52698.71</v>
      </c>
      <c r="J4" s="496">
        <f>'R 2016'!J4+'TRT 2016'!J4</f>
        <v>40066.480000000003</v>
      </c>
      <c r="K4" s="496">
        <f>'R 2016'!K4+'TRT 2016'!K4</f>
        <v>29373.279999999999</v>
      </c>
      <c r="L4" s="496">
        <f>'R 2016'!L4+'TRT 2016'!L4</f>
        <v>56183.46</v>
      </c>
      <c r="M4" s="496">
        <f>'R 2016'!M4+'TRT 2016'!M4</f>
        <v>21555.85</v>
      </c>
      <c r="N4" s="497">
        <f t="shared" ref="N4:N32" si="0">SUM(B4:M4)</f>
        <v>389546.98000000004</v>
      </c>
      <c r="O4" s="388">
        <f>SUM('TOTAL 2015'!B4:M4)</f>
        <v>338356.15</v>
      </c>
      <c r="P4" s="633">
        <f>N4/O4-1</f>
        <v>0.15129274286871985</v>
      </c>
      <c r="Q4" s="566">
        <f t="shared" ref="Q4:Q32" si="1">N4/$N$33</f>
        <v>3.1975655326118434E-3</v>
      </c>
    </row>
    <row r="5" spans="1:19">
      <c r="A5" s="92" t="s">
        <v>18</v>
      </c>
      <c r="B5" s="39">
        <f>'R 2016'!B5+'TRT 2016'!B5</f>
        <v>48073</v>
      </c>
      <c r="C5" s="39">
        <f>'R 2016'!C5+'TRT 2016'!C5</f>
        <v>76608</v>
      </c>
      <c r="D5" s="39">
        <f>'R 2016'!D5+'TRT 2016'!D5</f>
        <v>60777.919999999998</v>
      </c>
      <c r="E5" s="39">
        <f>'R 2016'!E5+'TRT 2016'!E5</f>
        <v>32652.28</v>
      </c>
      <c r="F5" s="39">
        <f>'R 2016'!F5+'TRT 2016'!F5</f>
        <v>79069.52</v>
      </c>
      <c r="G5" s="39">
        <f>'R 2016'!G5+'TRT 2016'!G5</f>
        <v>60457.130000000005</v>
      </c>
      <c r="H5" s="39">
        <f>'R 2016'!H5+'TRT 2016'!H5</f>
        <v>72242.399999999994</v>
      </c>
      <c r="I5" s="39">
        <f>'R 2016'!I5+'TRT 2016'!I5</f>
        <v>105400.68</v>
      </c>
      <c r="J5" s="39">
        <f>'R 2016'!J5+'TRT 2016'!J5</f>
        <v>84250.89</v>
      </c>
      <c r="K5" s="39">
        <f>'R 2016'!K5+'TRT 2016'!K5</f>
        <v>65195.659999999996</v>
      </c>
      <c r="L5" s="39">
        <f>'R 2016'!L5+'TRT 2016'!L5</f>
        <v>106187.56</v>
      </c>
      <c r="M5" s="39">
        <f>'R 2016'!M5+'TRT 2016'!M5</f>
        <v>65885.33</v>
      </c>
      <c r="N5" s="497">
        <f t="shared" si="0"/>
        <v>856800.37</v>
      </c>
      <c r="O5" s="388">
        <f>SUM('TOTAL 2015'!B5:M5)</f>
        <v>813544.39000000013</v>
      </c>
      <c r="P5" s="633">
        <f t="shared" ref="P5:P31" si="2">N5/O5-1</f>
        <v>5.3169784626011518E-2</v>
      </c>
      <c r="Q5" s="566">
        <f t="shared" si="1"/>
        <v>7.032977977241857E-3</v>
      </c>
    </row>
    <row r="6" spans="1:19">
      <c r="A6" s="92" t="s">
        <v>19</v>
      </c>
      <c r="B6" s="39">
        <f>'R 2016'!B6+'TRT 2016'!B6</f>
        <v>123574.6</v>
      </c>
      <c r="C6" s="39">
        <f>'R 2016'!C6+'TRT 2016'!C6</f>
        <v>187923.12</v>
      </c>
      <c r="D6" s="39">
        <f>'R 2016'!D6+'TRT 2016'!D6</f>
        <v>133206.88</v>
      </c>
      <c r="E6" s="39">
        <f>'R 2016'!E6+'TRT 2016'!E6</f>
        <v>121362.52</v>
      </c>
      <c r="F6" s="39">
        <f>'R 2016'!F6+'TRT 2016'!F6</f>
        <v>192672.95</v>
      </c>
      <c r="G6" s="39">
        <f>'R 2016'!G6+'TRT 2016'!G6</f>
        <v>128591.81</v>
      </c>
      <c r="H6" s="39">
        <f>'R 2016'!H6+'TRT 2016'!H6</f>
        <v>145249.39000000001</v>
      </c>
      <c r="I6" s="39">
        <f>'R 2016'!I6+'TRT 2016'!I6</f>
        <v>223472.45</v>
      </c>
      <c r="J6" s="39">
        <f>'R 2016'!J6+'TRT 2016'!J6</f>
        <v>175119.95</v>
      </c>
      <c r="K6" s="39">
        <f>'R 2016'!K6+'TRT 2016'!K6</f>
        <v>194007.3</v>
      </c>
      <c r="L6" s="39">
        <f>'R 2016'!L6+'TRT 2016'!L6</f>
        <v>183386.22</v>
      </c>
      <c r="M6" s="39">
        <f>'R 2016'!M6+'TRT 2016'!M6</f>
        <v>172867.24</v>
      </c>
      <c r="N6" s="497">
        <f t="shared" si="0"/>
        <v>1981434.4300000002</v>
      </c>
      <c r="O6" s="388">
        <f>SUM('TOTAL 2015'!B6:M6)</f>
        <v>1908071.86</v>
      </c>
      <c r="P6" s="633">
        <f t="shared" si="2"/>
        <v>3.8448536209742201E-2</v>
      </c>
      <c r="Q6" s="566">
        <f t="shared" si="1"/>
        <v>1.6264447586009763E-2</v>
      </c>
    </row>
    <row r="7" spans="1:19">
      <c r="A7" s="92" t="s">
        <v>20</v>
      </c>
      <c r="B7" s="39">
        <f>'R 2016'!B7+'TRT 2016'!B7</f>
        <v>20972</v>
      </c>
      <c r="C7" s="39">
        <f>'R 2016'!C7+'TRT 2016'!C7</f>
        <v>53516.47</v>
      </c>
      <c r="D7" s="39">
        <f>'R 2016'!D7+'TRT 2016'!D7</f>
        <v>17942.21</v>
      </c>
      <c r="E7" s="39">
        <f>'R 2016'!E7+'TRT 2016'!E7</f>
        <v>21355.68</v>
      </c>
      <c r="F7" s="39">
        <f>'R 2016'!F7+'TRT 2016'!F7</f>
        <v>67901.86</v>
      </c>
      <c r="G7" s="39">
        <f>'R 2016'!G7+'TRT 2016'!G7</f>
        <v>26595.85</v>
      </c>
      <c r="H7" s="39">
        <f>'R 2016'!H7+'TRT 2016'!H7</f>
        <v>27439.73</v>
      </c>
      <c r="I7" s="39">
        <f>'R 2016'!I7+'TRT 2016'!I7</f>
        <v>68911.289999999994</v>
      </c>
      <c r="J7" s="39">
        <f>'R 2016'!J7+'TRT 2016'!J7</f>
        <v>37912.67</v>
      </c>
      <c r="K7" s="39">
        <f>'R 2016'!K7+'TRT 2016'!K7</f>
        <v>49363.26</v>
      </c>
      <c r="L7" s="39">
        <f>'R 2016'!L7+'TRT 2016'!L7</f>
        <v>55625.06</v>
      </c>
      <c r="M7" s="39">
        <f>'R 2016'!M7+'TRT 2016'!M7</f>
        <v>39016.33</v>
      </c>
      <c r="N7" s="497">
        <f t="shared" si="0"/>
        <v>486552.41</v>
      </c>
      <c r="O7" s="388">
        <f>SUM('TOTAL 2015'!B7:M7)</f>
        <v>473899.19000000006</v>
      </c>
      <c r="P7" s="633">
        <f t="shared" si="2"/>
        <v>2.6700235550096485E-2</v>
      </c>
      <c r="Q7" s="566">
        <f t="shared" si="1"/>
        <v>3.9938269217880363E-3</v>
      </c>
    </row>
    <row r="8" spans="1:19">
      <c r="A8" s="92" t="s">
        <v>21</v>
      </c>
      <c r="B8" s="39">
        <f>'R 2016'!B8+'TRT 2016'!B8</f>
        <v>2199.91</v>
      </c>
      <c r="C8" s="39">
        <f>'R 2016'!C8+'TRT 2016'!C8</f>
        <v>4588.1899999999996</v>
      </c>
      <c r="D8" s="39">
        <f>'R 2016'!D8+'TRT 2016'!D8</f>
        <v>1051.1400000000001</v>
      </c>
      <c r="E8" s="39">
        <f>'R 2016'!E8+'TRT 2016'!E8</f>
        <v>517.89</v>
      </c>
      <c r="F8" s="39">
        <f>'R 2016'!F8+'TRT 2016'!F8</f>
        <v>3993.37</v>
      </c>
      <c r="G8" s="39">
        <f>'R 2016'!G8+'TRT 2016'!G8</f>
        <v>8572.76</v>
      </c>
      <c r="H8" s="39">
        <f>'R 2016'!H8+'TRT 2016'!H8</f>
        <v>12310.07</v>
      </c>
      <c r="I8" s="39">
        <f>'R 2016'!I8+'TRT 2016'!I8</f>
        <v>20120.740000000002</v>
      </c>
      <c r="J8" s="39">
        <f>'R 2016'!J8+'TRT 2016'!J8</f>
        <v>33457.020000000004</v>
      </c>
      <c r="K8" s="39">
        <f>'R 2016'!K8+'TRT 2016'!K8</f>
        <v>23819.38</v>
      </c>
      <c r="L8" s="39">
        <f>'R 2016'!L8+'TRT 2016'!L8</f>
        <v>23019.35</v>
      </c>
      <c r="M8" s="39">
        <f>'R 2016'!M8+'TRT 2016'!M8</f>
        <v>7045.9</v>
      </c>
      <c r="N8" s="497">
        <f t="shared" si="0"/>
        <v>140695.72</v>
      </c>
      <c r="O8" s="388">
        <f>SUM('TOTAL 2015'!B8:M8)</f>
        <v>113657.96999999997</v>
      </c>
      <c r="P8" s="633">
        <f t="shared" si="2"/>
        <v>0.23788696912323903</v>
      </c>
      <c r="Q8" s="566">
        <f t="shared" si="1"/>
        <v>1.1548896743032297E-3</v>
      </c>
    </row>
    <row r="9" spans="1:19">
      <c r="A9" s="151" t="s">
        <v>22</v>
      </c>
      <c r="B9" s="327">
        <f>'R 2016'!B9+'TRT 2016'!B9+'CR 2016'!C4</f>
        <v>375068.84</v>
      </c>
      <c r="C9" s="327">
        <f>'R 2016'!C9+'TRT 2016'!C9+'CR 2016'!D4</f>
        <v>522767.60000000003</v>
      </c>
      <c r="D9" s="327">
        <f>'R 2016'!D9+'TRT 2016'!D9+'CR 2016'!E4</f>
        <v>413167.51999999996</v>
      </c>
      <c r="E9" s="327">
        <f>'R 2016'!E9+'TRT 2016'!E9+'CR 2016'!F4</f>
        <v>388331.13999999996</v>
      </c>
      <c r="F9" s="327">
        <f>'R 2016'!F9+'TRT 2016'!F9+'CR 2016'!G4</f>
        <v>630774.91999999993</v>
      </c>
      <c r="G9" s="327">
        <f>'R 2016'!G9+'TRT 2016'!G9+'CR 2016'!H4</f>
        <v>451385.55</v>
      </c>
      <c r="H9" s="327">
        <f>'R 2016'!H9+'TRT 2016'!H9+'CR 2016'!I4</f>
        <v>494399.18999999994</v>
      </c>
      <c r="I9" s="327">
        <f>'R 2016'!I9+'TRT 2016'!I9+'CR 2016'!J4</f>
        <v>686332.89999999991</v>
      </c>
      <c r="J9" s="327">
        <f>'R 2016'!J9+'TRT 2016'!J9+'CR 2016'!K4</f>
        <v>624769.34</v>
      </c>
      <c r="K9" s="327">
        <f>'R 2016'!K9+'TRT 2016'!K9+'CR 2016'!L4</f>
        <v>624018.46</v>
      </c>
      <c r="L9" s="327">
        <f>'R 2016'!L9+'TRT 2016'!L9+'CR 2016'!M4</f>
        <v>563135.68999999994</v>
      </c>
      <c r="M9" s="327">
        <f>'R 2016'!M9+'TRT 2016'!M9+'CR 2016'!N4</f>
        <v>536090.54</v>
      </c>
      <c r="N9" s="497">
        <f t="shared" si="0"/>
        <v>6310241.6899999985</v>
      </c>
      <c r="O9" s="388">
        <f>SUM('TOTAL 2015'!B9:M9)</f>
        <v>6054482.7999999998</v>
      </c>
      <c r="P9" s="633">
        <f t="shared" si="2"/>
        <v>4.2242896453516865E-2</v>
      </c>
      <c r="Q9" s="566">
        <f t="shared" si="1"/>
        <v>5.1797119131546859E-2</v>
      </c>
    </row>
    <row r="10" spans="1:19">
      <c r="A10" s="151" t="s">
        <v>23</v>
      </c>
      <c r="B10" s="327">
        <f>'R 2016'!B10+'TRT 2016'!B10+'CR 2016'!C5</f>
        <v>16432</v>
      </c>
      <c r="C10" s="327">
        <f>'R 2016'!C10+'TRT 2016'!C10+'CR 2016'!D5</f>
        <v>20390.47</v>
      </c>
      <c r="D10" s="327">
        <f>'R 2016'!D10+'TRT 2016'!D10+'CR 2016'!E5</f>
        <v>9695.3900000000012</v>
      </c>
      <c r="E10" s="327">
        <f>'R 2016'!E10+'TRT 2016'!E10+'CR 2016'!F5</f>
        <v>10622.199999999999</v>
      </c>
      <c r="F10" s="327">
        <f>'R 2016'!F10+'TRT 2016'!F10+'CR 2016'!G5</f>
        <v>28109.19</v>
      </c>
      <c r="G10" s="327">
        <f>'R 2016'!G10+'TRT 2016'!G10+'CR 2016'!H5</f>
        <v>12014.849999999999</v>
      </c>
      <c r="H10" s="327">
        <f>'R 2016'!H10+'TRT 2016'!H10+'CR 2016'!I5</f>
        <v>12353.17</v>
      </c>
      <c r="I10" s="327">
        <f>'R 2016'!I10+'TRT 2016'!I10+'CR 2016'!J5</f>
        <v>31100.93</v>
      </c>
      <c r="J10" s="327">
        <f>'R 2016'!J10+'TRT 2016'!J10+'CR 2016'!K5</f>
        <v>18859.309999999998</v>
      </c>
      <c r="K10" s="327">
        <f>'R 2016'!K10+'TRT 2016'!K10+'CR 2016'!L5</f>
        <v>20143.18</v>
      </c>
      <c r="L10" s="327">
        <f>'R 2016'!L10+'TRT 2016'!L10+'CR 2016'!M5</f>
        <v>35841.68</v>
      </c>
      <c r="M10" s="327">
        <f>'R 2016'!M10+'TRT 2016'!M10+'CR 2016'!N5</f>
        <v>11604.4</v>
      </c>
      <c r="N10" s="497">
        <f t="shared" si="0"/>
        <v>227166.77</v>
      </c>
      <c r="O10" s="388">
        <f>SUM('TOTAL 2015'!B10:M10)</f>
        <v>259077.96000000002</v>
      </c>
      <c r="P10" s="633">
        <f t="shared" si="2"/>
        <v>-0.12317215250575553</v>
      </c>
      <c r="Q10" s="566">
        <f t="shared" si="1"/>
        <v>1.8646804395884727E-3</v>
      </c>
    </row>
    <row r="11" spans="1:19">
      <c r="A11" s="151" t="s">
        <v>51</v>
      </c>
      <c r="B11" s="327">
        <f>'R 2016'!B11+'TRT 2016'!B11</f>
        <v>14693</v>
      </c>
      <c r="C11" s="327">
        <f>'R 2016'!C11+'TRT 2016'!C11</f>
        <v>17036.46</v>
      </c>
      <c r="D11" s="327">
        <f>'R 2016'!D11+'TRT 2016'!D11</f>
        <v>13870.95</v>
      </c>
      <c r="E11" s="327">
        <f>'R 2016'!E11+'TRT 2016'!E11</f>
        <v>10665.369999999999</v>
      </c>
      <c r="F11" s="327">
        <f>'R 2016'!F11+'TRT 2016'!F11</f>
        <v>56975.63</v>
      </c>
      <c r="G11" s="327">
        <f>'R 2016'!G11+'TRT 2016'!G11</f>
        <v>35090.29</v>
      </c>
      <c r="H11" s="327">
        <f>'R 2016'!H11+'TRT 2016'!H11</f>
        <v>58723.09</v>
      </c>
      <c r="I11" s="327">
        <f>'R 2016'!I11+'TRT 2016'!I11</f>
        <v>75309.26999999999</v>
      </c>
      <c r="J11" s="327">
        <f>'R 2016'!J11+'TRT 2016'!J11</f>
        <v>53370.559999999998</v>
      </c>
      <c r="K11" s="327">
        <f>'R 2016'!K11+'TRT 2016'!K11</f>
        <v>47866.11</v>
      </c>
      <c r="L11" s="327">
        <f>'R 2016'!L11+'TRT 2016'!L11</f>
        <v>76420.92</v>
      </c>
      <c r="M11" s="327">
        <f>'R 2016'!M11+'TRT 2016'!M11</f>
        <v>28585.77</v>
      </c>
      <c r="N11" s="498">
        <f t="shared" si="0"/>
        <v>488607.42</v>
      </c>
      <c r="O11" s="388">
        <f>SUM('TOTAL 2015'!B11:M11)</f>
        <v>457253.55000000005</v>
      </c>
      <c r="P11" s="633">
        <f t="shared" si="2"/>
        <v>6.8569987045480341E-2</v>
      </c>
      <c r="Q11" s="566">
        <f t="shared" si="1"/>
        <v>4.0106953086130933E-3</v>
      </c>
    </row>
    <row r="12" spans="1:19">
      <c r="A12" s="151" t="s">
        <v>24</v>
      </c>
      <c r="B12" s="327">
        <f>'R 2016'!B12+'TRT 2016'!B12</f>
        <v>49959</v>
      </c>
      <c r="C12" s="327">
        <f>'R 2016'!C12+'TRT 2016'!C12</f>
        <v>61575.670000000006</v>
      </c>
      <c r="D12" s="327">
        <f>'R 2016'!D12+'TRT 2016'!D12</f>
        <v>22617.59</v>
      </c>
      <c r="E12" s="327">
        <f>'R 2016'!E12+'TRT 2016'!E12</f>
        <v>30145.599999999999</v>
      </c>
      <c r="F12" s="327">
        <f>'R 2016'!F12+'TRT 2016'!F12</f>
        <v>107048.95000000001</v>
      </c>
      <c r="G12" s="327">
        <f>'R 2016'!G12+'TRT 2016'!G12</f>
        <v>130312.16</v>
      </c>
      <c r="H12" s="327">
        <f>'R 2016'!H12+'TRT 2016'!H12</f>
        <v>239222.39999999999</v>
      </c>
      <c r="I12" s="327">
        <f>'R 2016'!I12+'TRT 2016'!I12</f>
        <v>345769.38999999996</v>
      </c>
      <c r="J12" s="327">
        <f>'R 2016'!J12+'TRT 2016'!J12</f>
        <v>298606.43000000005</v>
      </c>
      <c r="K12" s="327">
        <f>'R 2016'!K12+'TRT 2016'!K12</f>
        <v>270795.49</v>
      </c>
      <c r="L12" s="327">
        <f>'R 2016'!L12+'TRT 2016'!L12</f>
        <v>295219.67</v>
      </c>
      <c r="M12" s="327">
        <f>'R 2016'!M12+'TRT 2016'!M12</f>
        <v>219805.15</v>
      </c>
      <c r="N12" s="497">
        <f t="shared" si="0"/>
        <v>2071077.4999999998</v>
      </c>
      <c r="O12" s="388">
        <f>SUM('TOTAL 2015'!B12:M12)</f>
        <v>1879236.29</v>
      </c>
      <c r="P12" s="633">
        <f t="shared" si="2"/>
        <v>0.10208466653227499</v>
      </c>
      <c r="Q12" s="566">
        <f t="shared" si="1"/>
        <v>1.7000275626236155E-2</v>
      </c>
      <c r="S12" s="477"/>
    </row>
    <row r="13" spans="1:19">
      <c r="A13" s="151" t="s">
        <v>25</v>
      </c>
      <c r="B13" s="327">
        <f>'R 2016'!B13+'TRT 2016'!B13+'CR 2016'!C6</f>
        <v>180121</v>
      </c>
      <c r="C13" s="327">
        <f>'R 2016'!C13+'TRT 2016'!C13+'CR 2016'!D6</f>
        <v>142673.43</v>
      </c>
      <c r="D13" s="327">
        <f>'R 2016'!D13+'TRT 2016'!D13+'CR 2016'!E6</f>
        <v>31925.099999999995</v>
      </c>
      <c r="E13" s="327">
        <f>'R 2016'!E13+'TRT 2016'!E13+'CR 2016'!F6</f>
        <v>139405.68</v>
      </c>
      <c r="F13" s="327">
        <f>'R 2016'!F13+'TRT 2016'!F13+'CR 2016'!G6</f>
        <v>507812.81</v>
      </c>
      <c r="G13" s="327">
        <f>'R 2016'!G13+'TRT 2016'!G13+'CR 2016'!H6</f>
        <v>465676.59</v>
      </c>
      <c r="H13" s="327">
        <f>'R 2016'!H13+'TRT 2016'!H13+'CR 2016'!I6</f>
        <v>633466.20000000007</v>
      </c>
      <c r="I13" s="327">
        <f>'R 2016'!I13+'TRT 2016'!I13+'CR 2016'!J6</f>
        <v>687951.62</v>
      </c>
      <c r="J13" s="327">
        <f>'R 2016'!J13+'TRT 2016'!J13+'CR 2016'!K6</f>
        <v>498623.27000000008</v>
      </c>
      <c r="K13" s="327">
        <f>'R 2016'!K13+'TRT 2016'!K13+'CR 2016'!L6</f>
        <v>538049.4</v>
      </c>
      <c r="L13" s="327">
        <f>'R 2016'!L13+'TRT 2016'!L13+'CR 2016'!M6</f>
        <v>654010.38</v>
      </c>
      <c r="M13" s="327">
        <f>'R 2016'!M13+'TRT 2016'!M13+'CR 2016'!N6</f>
        <v>503068.88</v>
      </c>
      <c r="N13" s="497">
        <f t="shared" si="0"/>
        <v>4982784.3600000003</v>
      </c>
      <c r="O13" s="388">
        <f>SUM('TOTAL 2015'!B13:M13)</f>
        <v>4520489.71</v>
      </c>
      <c r="P13" s="633">
        <f t="shared" si="2"/>
        <v>0.10226649758262596</v>
      </c>
      <c r="Q13" s="566">
        <f t="shared" si="1"/>
        <v>4.0900790774897965E-2</v>
      </c>
    </row>
    <row r="14" spans="1:19">
      <c r="A14" s="151" t="s">
        <v>26</v>
      </c>
      <c r="B14" s="327">
        <f>'R 2016'!B14+'TRT 2016'!B14</f>
        <v>76660</v>
      </c>
      <c r="C14" s="327">
        <f>'R 2016'!C14+'TRT 2016'!C14</f>
        <v>195685.36</v>
      </c>
      <c r="D14" s="327">
        <f>'R 2016'!D14+'TRT 2016'!D14</f>
        <v>110218.5</v>
      </c>
      <c r="E14" s="327">
        <f>'R 2016'!E14+'TRT 2016'!E14</f>
        <v>125371.38</v>
      </c>
      <c r="F14" s="327">
        <f>'R 2016'!F14+'TRT 2016'!F14</f>
        <v>224807.90000000002</v>
      </c>
      <c r="G14" s="327">
        <f>'R 2016'!G14+'TRT 2016'!G14</f>
        <v>125227.76999999999</v>
      </c>
      <c r="H14" s="327">
        <f>'R 2016'!H14+'TRT 2016'!H14</f>
        <v>150611.97</v>
      </c>
      <c r="I14" s="327">
        <f>'R 2016'!I14+'TRT 2016'!I14</f>
        <v>255938.82</v>
      </c>
      <c r="J14" s="327">
        <f>'R 2016'!J14+'TRT 2016'!J14</f>
        <v>219246.85</v>
      </c>
      <c r="K14" s="327">
        <f>'R 2016'!K14+'TRT 2016'!K14</f>
        <v>192087.59</v>
      </c>
      <c r="L14" s="327">
        <f>'R 2016'!L14+'TRT 2016'!L14</f>
        <v>291905.39</v>
      </c>
      <c r="M14" s="327">
        <f>'R 2016'!M14+'TRT 2016'!M14</f>
        <v>144724.78</v>
      </c>
      <c r="N14" s="497">
        <f t="shared" si="0"/>
        <v>2112486.31</v>
      </c>
      <c r="O14" s="388">
        <f>SUM('TOTAL 2015'!B14:M14)</f>
        <v>1797253.4400000002</v>
      </c>
      <c r="P14" s="633">
        <f t="shared" si="2"/>
        <v>0.17539700466507369</v>
      </c>
      <c r="Q14" s="566">
        <f t="shared" si="1"/>
        <v>1.7340176563479907E-2</v>
      </c>
    </row>
    <row r="15" spans="1:19">
      <c r="A15" s="151" t="s">
        <v>27</v>
      </c>
      <c r="B15" s="327">
        <f>'R 2016'!B15+'TRT 2016'!B15</f>
        <v>7574</v>
      </c>
      <c r="C15" s="327">
        <f>'R 2016'!C15+'TRT 2016'!C15</f>
        <v>23394.42</v>
      </c>
      <c r="D15" s="327">
        <f>'R 2016'!D15+'TRT 2016'!D15</f>
        <v>8824.5499999999993</v>
      </c>
      <c r="E15" s="327">
        <f>'R 2016'!E15+'TRT 2016'!E15</f>
        <v>7721.11</v>
      </c>
      <c r="F15" s="327">
        <f>'R 2016'!F15+'TRT 2016'!F15</f>
        <v>27748.370000000003</v>
      </c>
      <c r="G15" s="327">
        <f>'R 2016'!G15+'TRT 2016'!G15</f>
        <v>10045.85</v>
      </c>
      <c r="H15" s="327">
        <f>'R 2016'!H15+'TRT 2016'!H15</f>
        <v>9721.73</v>
      </c>
      <c r="I15" s="327">
        <f>'R 2016'!I15+'TRT 2016'!I15</f>
        <v>40286.869999999995</v>
      </c>
      <c r="J15" s="327">
        <f>'R 2016'!J15+'TRT 2016'!J15</f>
        <v>15036.67</v>
      </c>
      <c r="K15" s="327">
        <f>'R 2016'!K15+'TRT 2016'!K15</f>
        <v>9177.6299999999992</v>
      </c>
      <c r="L15" s="327">
        <f>'R 2016'!L15+'TRT 2016'!L15</f>
        <v>38502.339999999997</v>
      </c>
      <c r="M15" s="327">
        <f>'R 2016'!M15+'TRT 2016'!M15</f>
        <v>12100.880000000001</v>
      </c>
      <c r="N15" s="497">
        <f t="shared" si="0"/>
        <v>210134.42000000004</v>
      </c>
      <c r="O15" s="388">
        <f>SUM('TOTAL 2015'!B15:M15)</f>
        <v>204817.90999999997</v>
      </c>
      <c r="P15" s="633">
        <f t="shared" si="2"/>
        <v>2.5957251492313649E-2</v>
      </c>
      <c r="Q15" s="566">
        <f t="shared" si="1"/>
        <v>1.724871743601711E-3</v>
      </c>
    </row>
    <row r="16" spans="1:19">
      <c r="A16" s="151" t="s">
        <v>28</v>
      </c>
      <c r="B16" s="327">
        <f>'R 2016'!B16+'TRT 2016'!B16</f>
        <v>82090</v>
      </c>
      <c r="C16" s="327">
        <f>'R 2016'!C16+'TRT 2016'!C16</f>
        <v>125157.45</v>
      </c>
      <c r="D16" s="327">
        <f>'R 2016'!D16+'TRT 2016'!D16</f>
        <v>37313.080999999998</v>
      </c>
      <c r="E16" s="327">
        <f>'R 2016'!E16+'TRT 2016'!E16</f>
        <v>60436.72</v>
      </c>
      <c r="F16" s="327">
        <f>'R 2016'!F16+'TRT 2016'!F16</f>
        <v>257852.91999999998</v>
      </c>
      <c r="G16" s="327">
        <f>'R 2016'!G16+'TRT 2016'!G16</f>
        <v>92550.57</v>
      </c>
      <c r="H16" s="327">
        <f>'R 2016'!H16+'TRT 2016'!H16</f>
        <v>329093.78999999998</v>
      </c>
      <c r="I16" s="327">
        <f>'R 2016'!I16+'TRT 2016'!I16</f>
        <v>394398.7</v>
      </c>
      <c r="J16" s="327">
        <f>'R 2016'!J16+'TRT 2016'!J16</f>
        <v>281491.76</v>
      </c>
      <c r="K16" s="327">
        <f>'R 2016'!K16+'TRT 2016'!K16</f>
        <v>192684.69</v>
      </c>
      <c r="L16" s="327">
        <f>'R 2016'!L16+'TRT 2016'!L16</f>
        <v>484496.49</v>
      </c>
      <c r="M16" s="327">
        <f>'R 2016'!M16+'TRT 2016'!M16</f>
        <v>190443.12</v>
      </c>
      <c r="N16" s="497">
        <f t="shared" si="0"/>
        <v>2528009.2910000002</v>
      </c>
      <c r="O16" s="388">
        <f>SUM('TOTAL 2015'!B16:M16)</f>
        <v>2092423.09</v>
      </c>
      <c r="P16" s="633">
        <f t="shared" si="2"/>
        <v>0.20817309992502531</v>
      </c>
      <c r="Q16" s="566">
        <f t="shared" si="1"/>
        <v>2.0750964042961142E-2</v>
      </c>
    </row>
    <row r="17" spans="1:20">
      <c r="A17" s="151" t="s">
        <v>52</v>
      </c>
      <c r="B17" s="327">
        <f>'TRT 2016'!B17+'R 2016'!B17</f>
        <v>13373.83</v>
      </c>
      <c r="C17" s="327">
        <f>'TRT 2016'!C17+'R 2016'!C17</f>
        <v>21424.55</v>
      </c>
      <c r="D17" s="327">
        <f>'TRT 2016'!D17+'R 2016'!D17</f>
        <v>12995.380000000001</v>
      </c>
      <c r="E17" s="327">
        <f>'TRT 2016'!E17+'R 2016'!E17</f>
        <v>20809.080000000002</v>
      </c>
      <c r="F17" s="327">
        <f>'TRT 2016'!F17+'R 2016'!F17</f>
        <v>35843.800000000003</v>
      </c>
      <c r="G17" s="327">
        <f>'TRT 2016'!G17+'R 2016'!G17</f>
        <v>17062.93</v>
      </c>
      <c r="H17" s="327">
        <f>'TRT 2016'!H17+'R 2016'!H17</f>
        <v>17239.010000000002</v>
      </c>
      <c r="I17" s="327">
        <f>'TRT 2016'!I17</f>
        <v>16357.26</v>
      </c>
      <c r="J17" s="327">
        <f>'TRT 2016'!J17</f>
        <v>16497.38</v>
      </c>
      <c r="K17" s="327">
        <f>'TRT 2016'!K17</f>
        <v>10551.42</v>
      </c>
      <c r="L17" s="327">
        <f>'TRT 2016'!L17</f>
        <v>24849.68</v>
      </c>
      <c r="M17" s="327">
        <f>'TRT 2016'!M17</f>
        <v>8402.4599999999991</v>
      </c>
      <c r="N17" s="497">
        <f t="shared" si="0"/>
        <v>215406.78000000003</v>
      </c>
      <c r="O17" s="388">
        <f>SUM('TOTAL 2015'!B17:M17)</f>
        <v>136570.32</v>
      </c>
      <c r="P17" s="633">
        <f t="shared" si="2"/>
        <v>0.57725909992742208</v>
      </c>
      <c r="Q17" s="566">
        <f t="shared" si="1"/>
        <v>1.7681494930827141E-3</v>
      </c>
    </row>
    <row r="18" spans="1:20">
      <c r="A18" s="151" t="s">
        <v>29</v>
      </c>
      <c r="B18" s="327">
        <f>'R 2016'!B18+'TRT 2016'!B18+'CR 2016'!C7</f>
        <v>2992.84</v>
      </c>
      <c r="C18" s="327">
        <f>'R 2016'!C18+'TRT 2016'!C18+'CR 2016'!D7</f>
        <v>4563.7</v>
      </c>
      <c r="D18" s="327">
        <f>'R 2016'!D18+'TRT 2016'!D18+'CR 2016'!E7</f>
        <v>5113.5199999999995</v>
      </c>
      <c r="E18" s="327">
        <f>'R 2016'!E18+'TRT 2016'!E18+'CR 2016'!F7</f>
        <v>1722.1</v>
      </c>
      <c r="F18" s="327">
        <f>'R 2016'!F18+'TRT 2016'!F18+'CR 2016'!G7</f>
        <v>5880.31</v>
      </c>
      <c r="G18" s="327">
        <f>'R 2016'!G18+'TRT 2016'!G18+'CR 2016'!H7</f>
        <v>4275.66</v>
      </c>
      <c r="H18" s="327">
        <f>'R 2016'!H18+'TRT 2016'!H18+'CR 2016'!I7</f>
        <v>5698.69</v>
      </c>
      <c r="I18" s="327">
        <f>'R 2016'!I18+'TRT 2016'!I18+'CR 2016'!J7</f>
        <v>8269.7100000000009</v>
      </c>
      <c r="J18" s="327">
        <f>'R 2016'!J18+'TRT 2016'!J18+'CR 2016'!K7</f>
        <v>7647.58</v>
      </c>
      <c r="K18" s="327">
        <f>'R 2016'!K18+'TRT 2016'!K18+'CR 2016'!L7</f>
        <v>5942.73</v>
      </c>
      <c r="L18" s="327">
        <f>'R 2016'!L18+'TRT 2016'!L18+'CR 2016'!M7</f>
        <v>8000.34</v>
      </c>
      <c r="M18" s="327">
        <f>'R 2016'!M18+'TRT 2016'!M18+'CR 2016'!N7</f>
        <v>4438.76</v>
      </c>
      <c r="N18" s="497">
        <f t="shared" si="0"/>
        <v>64545.939999999995</v>
      </c>
      <c r="O18" s="388">
        <f>SUM('TOTAL 2015'!B18:M18)</f>
        <v>63316.08</v>
      </c>
      <c r="P18" s="633">
        <f t="shared" si="2"/>
        <v>1.942413364819795E-2</v>
      </c>
      <c r="Q18" s="566">
        <f t="shared" si="1"/>
        <v>5.2982023635257561E-4</v>
      </c>
    </row>
    <row r="19" spans="1:20">
      <c r="A19" s="151" t="s">
        <v>53</v>
      </c>
      <c r="B19" s="327">
        <f>'TRT 2016'!B19</f>
        <v>1336.72</v>
      </c>
      <c r="C19" s="327">
        <f>'TRT 2016'!C19</f>
        <v>1840.62</v>
      </c>
      <c r="D19" s="327">
        <f>'TRT 2016'!D19</f>
        <v>39.130000000000003</v>
      </c>
      <c r="E19" s="327">
        <f>'TRT 2016'!E19</f>
        <v>528.88</v>
      </c>
      <c r="F19" s="327">
        <f>'TRT 2016'!F19</f>
        <v>501.49</v>
      </c>
      <c r="G19" s="327">
        <f>'TRT 2016'!G19</f>
        <v>508.41</v>
      </c>
      <c r="H19" s="327">
        <f>'TRT 2016'!H19</f>
        <v>1510.15</v>
      </c>
      <c r="I19" s="327">
        <f>'TRT 2016'!I19</f>
        <v>3776.17</v>
      </c>
      <c r="J19" s="327">
        <f>'TRT 2016'!J19</f>
        <v>869.34</v>
      </c>
      <c r="K19" s="327">
        <f>'TRT 2016'!K19</f>
        <v>19.170000000000002</v>
      </c>
      <c r="L19" s="327">
        <f>'TRT 2016'!L19</f>
        <v>10863.85</v>
      </c>
      <c r="M19" s="327">
        <f>'TRT 2016'!M19</f>
        <v>189.47</v>
      </c>
      <c r="N19" s="497">
        <f t="shared" si="0"/>
        <v>21983.4</v>
      </c>
      <c r="O19" s="388">
        <f>SUM('TOTAL 2015'!B19:M19)</f>
        <v>25034.68</v>
      </c>
      <c r="P19" s="633">
        <f t="shared" si="2"/>
        <v>-0.12188212511603902</v>
      </c>
      <c r="Q19" s="566">
        <f t="shared" si="1"/>
        <v>1.8044899778101012E-4</v>
      </c>
    </row>
    <row r="20" spans="1:20">
      <c r="A20" s="151" t="s">
        <v>30</v>
      </c>
      <c r="B20" s="327">
        <f>'R 2016'!B19+'TRT 2016'!B20</f>
        <v>14446</v>
      </c>
      <c r="C20" s="327">
        <f>'R 2016'!C19+'TRT 2016'!C20</f>
        <v>15131.669999999998</v>
      </c>
      <c r="D20" s="327">
        <f>'R 2016'!D19+'TRT 2016'!D20</f>
        <v>10631.58</v>
      </c>
      <c r="E20" s="327">
        <f>'R 2016'!E19+'TRT 2016'!E20</f>
        <v>4483.3900000000003</v>
      </c>
      <c r="F20" s="327">
        <f>'R 2016'!F19+'TRT 2016'!F20</f>
        <v>8541.34</v>
      </c>
      <c r="G20" s="327">
        <f>'R 2016'!G19+'TRT 2016'!G20</f>
        <v>3784.24</v>
      </c>
      <c r="H20" s="327">
        <f>'R 2016'!H19+'TRT 2016'!H20</f>
        <v>12251.11</v>
      </c>
      <c r="I20" s="327">
        <f>'R 2016'!I19+'TRT 2016'!I20</f>
        <v>46375.42</v>
      </c>
      <c r="J20" s="327">
        <f>'R 2016'!J19+'TRT 2016'!J20</f>
        <v>59556.21</v>
      </c>
      <c r="K20" s="327">
        <f>'R 2016'!K19+'TRT 2016'!K20</f>
        <v>65598.36</v>
      </c>
      <c r="L20" s="327">
        <f>'R 2016'!L19+'TRT 2016'!L20</f>
        <v>93082.63</v>
      </c>
      <c r="M20" s="327">
        <f>'R 2016'!M19+'TRT 2016'!M20</f>
        <v>4918.1900000000005</v>
      </c>
      <c r="N20" s="497">
        <f t="shared" si="0"/>
        <v>338800.14</v>
      </c>
      <c r="O20" s="388">
        <f>SUM('TOTAL 2015'!B20:M20)</f>
        <v>263496.03999999998</v>
      </c>
      <c r="P20" s="633">
        <f t="shared" si="2"/>
        <v>0.28578835568079142</v>
      </c>
      <c r="Q20" s="566">
        <f t="shared" si="1"/>
        <v>2.7810141156993876E-3</v>
      </c>
    </row>
    <row r="21" spans="1:20">
      <c r="A21" s="151" t="s">
        <v>31</v>
      </c>
      <c r="B21" s="327">
        <f>'R 2016'!B20+'TRT 2016'!B21+'CR 2016'!C8</f>
        <v>3096667</v>
      </c>
      <c r="C21" s="327">
        <f>'R 2016'!C20+'TRT 2016'!C21+'CR 2016'!D8</f>
        <v>4430533.25</v>
      </c>
      <c r="D21" s="327">
        <f>'R 2016'!D20+'TRT 2016'!D21+'CR 2016'!E8</f>
        <v>4446676.41</v>
      </c>
      <c r="E21" s="327">
        <f>'R 2016'!E20+'TRT 2016'!E21+'CR 2016'!F8</f>
        <v>3983091.02</v>
      </c>
      <c r="F21" s="327">
        <f>'R 2016'!F20+'TRT 2016'!F21+'CR 2016'!G8</f>
        <v>5700780.6399999997</v>
      </c>
      <c r="G21" s="327">
        <f>'R 2016'!G20+'TRT 2016'!G21+'CR 2016'!H8</f>
        <v>3535350.2</v>
      </c>
      <c r="H21" s="327">
        <f>'R 2016'!H20+'TRT 2016'!H21+'CR 2016'!I8</f>
        <v>3786198.36</v>
      </c>
      <c r="I21" s="327">
        <f>'R 2016'!I20+'TRT 2016'!I21+'CR 2016'!J8</f>
        <v>4868656.04</v>
      </c>
      <c r="J21" s="327">
        <f>'R 2016'!J20+'TRT 2016'!J21+'CR 2016'!K8</f>
        <v>4946710.67</v>
      </c>
      <c r="K21" s="327">
        <f>'R 2016'!K20+'TRT 2016'!K21+'CR 2016'!L8</f>
        <v>5241930.7300000004</v>
      </c>
      <c r="L21" s="327">
        <f>'R 2016'!L20+'TRT 2016'!L21+'CR 2016'!M8</f>
        <v>4870165.8499999996</v>
      </c>
      <c r="M21" s="327">
        <f>'R 2016'!M20+'TRT 2016'!M21+'CR 2016'!N8</f>
        <v>4167362.4800000004</v>
      </c>
      <c r="N21" s="497">
        <f t="shared" si="0"/>
        <v>53074122.650000006</v>
      </c>
      <c r="O21" s="388">
        <f>SUM('TOTAL 2015'!B21:M21)</f>
        <v>50674556.450000003</v>
      </c>
      <c r="P21" s="633">
        <f t="shared" si="2"/>
        <v>4.7352485509520426E-2</v>
      </c>
      <c r="Q21" s="566">
        <f t="shared" si="1"/>
        <v>0.43565473222062595</v>
      </c>
    </row>
    <row r="22" spans="1:20">
      <c r="A22" s="151" t="s">
        <v>45</v>
      </c>
      <c r="B22" s="327">
        <f>'R 2016'!B21+'TRT 2016'!B22</f>
        <v>40043</v>
      </c>
      <c r="C22" s="327">
        <f>'R 2016'!C21+'TRT 2016'!C22</f>
        <v>45117.279999999999</v>
      </c>
      <c r="D22" s="327">
        <f>'R 2016'!D21+'TRT 2016'!D22</f>
        <v>12498.119999999999</v>
      </c>
      <c r="E22" s="327">
        <f>'R 2016'!E21+'TRT 2016'!E22</f>
        <v>20047.59</v>
      </c>
      <c r="F22" s="327">
        <f>'R 2016'!F21+'TRT 2016'!F22</f>
        <v>71487.289999999994</v>
      </c>
      <c r="G22" s="327">
        <f>'R 2016'!G21+'TRT 2016'!G22</f>
        <v>56274.07</v>
      </c>
      <c r="H22" s="327">
        <f>'R 2016'!H21+'TRT 2016'!H22</f>
        <v>111515.4</v>
      </c>
      <c r="I22" s="327">
        <f>'R 2016'!I21+'TRT 2016'!I22</f>
        <v>138105.60999999999</v>
      </c>
      <c r="J22" s="327">
        <f>'R 2016'!J21+'TRT 2016'!J22</f>
        <v>131049.31000000001</v>
      </c>
      <c r="K22" s="327">
        <f>'R 2016'!K21+'TRT 2016'!K22</f>
        <v>115350.18</v>
      </c>
      <c r="L22" s="327">
        <f>'R 2016'!L21+'TRT 2016'!L22</f>
        <v>149211.21</v>
      </c>
      <c r="M22" s="327">
        <f>'R 2016'!M21+'TRT 2016'!M22</f>
        <v>84260.88</v>
      </c>
      <c r="N22" s="497">
        <f t="shared" si="0"/>
        <v>974959.94000000006</v>
      </c>
      <c r="O22" s="388">
        <f>SUM('TOTAL 2015'!B22:M22)</f>
        <v>783158.27</v>
      </c>
      <c r="P22" s="633">
        <f t="shared" si="2"/>
        <v>0.24490792901925174</v>
      </c>
      <c r="Q22" s="566">
        <f t="shared" si="1"/>
        <v>8.0028814491677237E-3</v>
      </c>
    </row>
    <row r="23" spans="1:20">
      <c r="A23" s="151" t="s">
        <v>32</v>
      </c>
      <c r="B23" s="327">
        <f>'R 2016'!B22+'TRT 2016'!B23</f>
        <v>11303</v>
      </c>
      <c r="C23" s="327">
        <f>'R 2016'!C22+'TRT 2016'!C23</f>
        <v>33904</v>
      </c>
      <c r="D23" s="327">
        <f>'R 2016'!D22+'TRT 2016'!D23</f>
        <v>10511.73</v>
      </c>
      <c r="E23" s="327">
        <f>'R 2016'!E22+'TRT 2016'!E23</f>
        <v>12820.99</v>
      </c>
      <c r="F23" s="327">
        <f>'R 2016'!F22+'TRT 2016'!F23</f>
        <v>40277.57</v>
      </c>
      <c r="G23" s="327">
        <f>'R 2016'!G22+'TRT 2016'!G23</f>
        <v>8211.5</v>
      </c>
      <c r="H23" s="327">
        <f>'R 2016'!H22+'TRT 2016'!H23</f>
        <v>14300.779999999999</v>
      </c>
      <c r="I23" s="327">
        <f>'R 2016'!I22+'TRT 2016'!I23</f>
        <v>43529.32</v>
      </c>
      <c r="J23" s="327">
        <f>'R 2016'!J22+'TRT 2016'!J23</f>
        <v>15895.88</v>
      </c>
      <c r="K23" s="327">
        <f>'R 2016'!K22+'TRT 2016'!K23</f>
        <v>11853.84</v>
      </c>
      <c r="L23" s="327">
        <f>'R 2016'!L22+'TRT 2016'!L23</f>
        <v>50896.25</v>
      </c>
      <c r="M23" s="327">
        <f>'R 2016'!M22+'TRT 2016'!M23</f>
        <v>6835.54</v>
      </c>
      <c r="N23" s="497">
        <f t="shared" si="0"/>
        <v>260340.40000000002</v>
      </c>
      <c r="O23" s="388">
        <f>SUM('TOTAL 2015'!B23:M23)</f>
        <v>250199.14</v>
      </c>
      <c r="P23" s="633">
        <f t="shared" si="2"/>
        <v>4.0532753230086982E-2</v>
      </c>
      <c r="Q23" s="566">
        <f t="shared" si="1"/>
        <v>2.1369835540411075E-3</v>
      </c>
    </row>
    <row r="24" spans="1:20">
      <c r="A24" s="151" t="s">
        <v>33</v>
      </c>
      <c r="B24" s="327">
        <f>'R 2016'!B23+'TRT 2016'!B24+'CR 2016'!C9</f>
        <v>49374.78</v>
      </c>
      <c r="C24" s="327">
        <f>'R 2016'!C23+'TRT 2016'!C24+'CR 2016'!D9</f>
        <v>55893.409999999996</v>
      </c>
      <c r="D24" s="327">
        <f>'R 2016'!D23+'TRT 2016'!D24+'CR 2016'!E9</f>
        <v>45937.13</v>
      </c>
      <c r="E24" s="327">
        <f>'R 2016'!E23+'TRT 2016'!E24+'CR 2016'!F9</f>
        <v>46913.36</v>
      </c>
      <c r="F24" s="327">
        <f>'R 2016'!F23+'TRT 2016'!F24+'CR 2016'!G9</f>
        <v>72486.89</v>
      </c>
      <c r="G24" s="327">
        <f>'R 2016'!G23+'TRT 2016'!G24+'CR 2016'!H9</f>
        <v>50184.41</v>
      </c>
      <c r="H24" s="327">
        <f>'R 2016'!H23+'TRT 2016'!H24+'CR 2016'!I9</f>
        <v>69232.899999999994</v>
      </c>
      <c r="I24" s="327">
        <f>'R 2016'!I23+'TRT 2016'!I24+'CR 2016'!J9</f>
        <v>117138.46</v>
      </c>
      <c r="J24" s="327">
        <f>'R 2016'!J23+'TRT 2016'!J24+'CR 2016'!K9</f>
        <v>86269.4</v>
      </c>
      <c r="K24" s="327">
        <f>'R 2016'!K23+'TRT 2016'!K24+'CR 2016'!L9</f>
        <v>83084.499999999985</v>
      </c>
      <c r="L24" s="327">
        <f>'R 2016'!L23+'TRT 2016'!L24+'CR 2016'!M9</f>
        <v>116622.23000000001</v>
      </c>
      <c r="M24" s="327">
        <f>'R 2016'!M23+'TRT 2016'!M24+'CR 2016'!N9</f>
        <v>50832.26</v>
      </c>
      <c r="N24" s="497">
        <f t="shared" si="0"/>
        <v>843969.73</v>
      </c>
      <c r="O24" s="388">
        <f>SUM('TOTAL 2015'!B24:M24)</f>
        <v>795634.66</v>
      </c>
      <c r="P24" s="633">
        <f t="shared" si="2"/>
        <v>6.0750332319610134E-2</v>
      </c>
      <c r="Q24" s="566">
        <f t="shared" si="1"/>
        <v>6.9276586850082192E-3</v>
      </c>
    </row>
    <row r="25" spans="1:20">
      <c r="A25" s="151" t="s">
        <v>34</v>
      </c>
      <c r="B25" s="327">
        <f>'R 2016'!B24+'TRT 2016'!B25</f>
        <v>565099</v>
      </c>
      <c r="C25" s="327">
        <f>'R 2016'!C24+'TRT 2016'!C25</f>
        <v>1643278.6500000001</v>
      </c>
      <c r="D25" s="327">
        <f>'R 2016'!D24+'TRT 2016'!D25</f>
        <v>1780576.96</v>
      </c>
      <c r="E25" s="327">
        <f>'R 2016'!E24+'TRT 2016'!E25</f>
        <v>1681135.66</v>
      </c>
      <c r="F25" s="327">
        <f>'R 2016'!F24+'TRT 2016'!F25</f>
        <v>2085574.73</v>
      </c>
      <c r="G25" s="327">
        <f>'R 2016'!G24+'TRT 2016'!G25</f>
        <v>318130.52</v>
      </c>
      <c r="H25" s="327">
        <f>'R 2016'!H24+'TRT 2016'!H25</f>
        <v>285448.77</v>
      </c>
      <c r="I25" s="327">
        <f>'R 2016'!I24+'TRT 2016'!I25</f>
        <v>643381.35</v>
      </c>
      <c r="J25" s="327">
        <f>'R 2016'!J24+'TRT 2016'!J25</f>
        <v>702285.03</v>
      </c>
      <c r="K25" s="327">
        <f>'R 2016'!K24+'TRT 2016'!K25</f>
        <v>721734.85</v>
      </c>
      <c r="L25" s="327">
        <f>'R 2016'!L24+'TRT 2016'!L25</f>
        <v>660992.27</v>
      </c>
      <c r="M25" s="327">
        <f>'R 2016'!M24+'TRT 2016'!M25</f>
        <v>341847.14</v>
      </c>
      <c r="N25" s="497">
        <f t="shared" si="0"/>
        <v>11429484.929999998</v>
      </c>
      <c r="O25" s="388">
        <f>SUM('TOTAL 2015'!B25:M25)</f>
        <v>10245803.890000001</v>
      </c>
      <c r="P25" s="633">
        <f t="shared" si="2"/>
        <v>0.11552837168348318</v>
      </c>
      <c r="Q25" s="566">
        <f t="shared" si="1"/>
        <v>9.3818021815172264E-2</v>
      </c>
    </row>
    <row r="26" spans="1:20">
      <c r="A26" s="151" t="s">
        <v>35</v>
      </c>
      <c r="B26" s="327">
        <f>'R 2016'!B25+'TRT 2016'!B26</f>
        <v>45418</v>
      </c>
      <c r="C26" s="327">
        <f>'R 2016'!C25+'TRT 2016'!C26</f>
        <v>78548.759999999995</v>
      </c>
      <c r="D26" s="327">
        <f>'R 2016'!D25+'TRT 2016'!D26</f>
        <v>62749.22</v>
      </c>
      <c r="E26" s="327">
        <f>'R 2016'!E25+'TRT 2016'!E26</f>
        <v>55793.37</v>
      </c>
      <c r="F26" s="327">
        <f>'R 2016'!F25+'TRT 2016'!F26</f>
        <v>93374.37</v>
      </c>
      <c r="G26" s="327">
        <f>'R 2016'!G25+'TRT 2016'!G26</f>
        <v>63226.28</v>
      </c>
      <c r="H26" s="327">
        <f>'R 2016'!H25+'TRT 2016'!H26</f>
        <v>77724.08</v>
      </c>
      <c r="I26" s="327">
        <f>'R 2016'!I25+'TRT 2016'!I26</f>
        <v>108948.64000000001</v>
      </c>
      <c r="J26" s="327">
        <f>'R 2016'!J25+'TRT 2016'!J26</f>
        <v>87618.12</v>
      </c>
      <c r="K26" s="327">
        <f>'R 2016'!K25+'TRT 2016'!K26</f>
        <v>95107.09</v>
      </c>
      <c r="L26" s="327">
        <f>'R 2016'!L25+'TRT 2016'!L26</f>
        <v>107126.19</v>
      </c>
      <c r="M26" s="327">
        <f>'R 2016'!M25+'TRT 2016'!M26</f>
        <v>78687.509999999995</v>
      </c>
      <c r="N26" s="497">
        <f t="shared" si="0"/>
        <v>954321.62999999989</v>
      </c>
      <c r="O26" s="388">
        <f>SUM('TOTAL 2015'!B26:M26)</f>
        <v>912998.62000000011</v>
      </c>
      <c r="P26" s="633">
        <f t="shared" si="2"/>
        <v>4.5260758444519711E-2</v>
      </c>
      <c r="Q26" s="566">
        <f>N26/$N$33</f>
        <v>7.8334735161185217E-3</v>
      </c>
    </row>
    <row r="27" spans="1:20" s="154" customFormat="1">
      <c r="A27" s="151" t="s">
        <v>36</v>
      </c>
      <c r="B27" s="327">
        <f>'R 2016'!B26+'CR 2016'!C10+'TRT 2016'!B27</f>
        <v>59905.3</v>
      </c>
      <c r="C27" s="327">
        <f>'R 2016'!C26+'CR 2016'!D10+'TRT 2016'!C27</f>
        <v>78143.19</v>
      </c>
      <c r="D27" s="327">
        <f>'R 2016'!D26+'CR 2016'!E10+'TRT 2016'!D27</f>
        <v>54880.34</v>
      </c>
      <c r="E27" s="327">
        <f>'R 2016'!E26+'CR 2016'!F10+'TRT 2016'!E27</f>
        <v>40858.929999999993</v>
      </c>
      <c r="F27" s="327">
        <f>'R 2016'!F26+'CR 2016'!G10+'TRT 2016'!F27</f>
        <v>82398.850000000006</v>
      </c>
      <c r="G27" s="327">
        <f>'R 2016'!G26+'CR 2016'!H10+'TRT 2016'!G27</f>
        <v>59198.22</v>
      </c>
      <c r="H27" s="327">
        <f>'R 2016'!H26+'CR 2016'!I10+'TRT 2016'!H27</f>
        <v>80113.31</v>
      </c>
      <c r="I27" s="327">
        <f>'R 2016'!I26+'CR 2016'!J10+'TRT 2016'!I27</f>
        <v>118874.65</v>
      </c>
      <c r="J27" s="327">
        <f>'R 2016'!J26+'CR 2016'!K10+'TRT 2016'!J27</f>
        <v>87791.7</v>
      </c>
      <c r="K27" s="327">
        <f>'R 2016'!K26+'CR 2016'!L10+'TRT 2016'!K27</f>
        <v>82166.62</v>
      </c>
      <c r="L27" s="327">
        <f>'R 2016'!L26+'CR 2016'!M10+'TRT 2016'!L27</f>
        <v>105352.29999999999</v>
      </c>
      <c r="M27" s="327">
        <f>'R 2016'!M26+'CR 2016'!N10+'TRT 2016'!M27</f>
        <v>66259.81</v>
      </c>
      <c r="N27" s="497">
        <f t="shared" si="0"/>
        <v>915943.22</v>
      </c>
      <c r="O27" s="388">
        <f>SUM('TOTAL 2015'!B27:M27)</f>
        <v>1083990.99</v>
      </c>
      <c r="P27" s="633">
        <f t="shared" si="2"/>
        <v>-0.1550269066350819</v>
      </c>
      <c r="Q27" s="566">
        <f t="shared" si="1"/>
        <v>7.5184473772624454E-3</v>
      </c>
    </row>
    <row r="28" spans="1:20">
      <c r="A28" s="151" t="s">
        <v>37</v>
      </c>
      <c r="B28" s="327">
        <f>'R 2016'!B27+'CR 2016'!C11+'TRT 2016'!B28</f>
        <v>706265</v>
      </c>
      <c r="C28" s="327">
        <f>'R 2016'!C27+'CR 2016'!D11+'TRT 2016'!C28</f>
        <v>974938.24</v>
      </c>
      <c r="D28" s="327">
        <f>'R 2016'!D27+'CR 2016'!E11+'TRT 2016'!D28</f>
        <v>840400.91999999993</v>
      </c>
      <c r="E28" s="327">
        <f>'R 2016'!E27+'CR 2016'!F11+'TRT 2016'!E28</f>
        <v>761791.82</v>
      </c>
      <c r="F28" s="327">
        <f>'R 2016'!F27+'CR 2016'!G11+'TRT 2016'!F28</f>
        <v>1171081.3099999998</v>
      </c>
      <c r="G28" s="327">
        <f>'R 2016'!G27+'CR 2016'!H11+'TRT 2016'!G28</f>
        <v>895374.69000000006</v>
      </c>
      <c r="H28" s="327">
        <f>'R 2016'!H27+'CR 2016'!I11+'TRT 2016'!H28</f>
        <v>890685.18</v>
      </c>
      <c r="I28" s="327">
        <f>'R 2016'!I27+'CR 2016'!J11+'TRT 2016'!I28</f>
        <v>1191186.3799999999</v>
      </c>
      <c r="J28" s="327">
        <f>'R 2016'!J27+'CR 2016'!K11+'TRT 2016'!J28</f>
        <v>1108912</v>
      </c>
      <c r="K28" s="327">
        <f>'R 2016'!K27+'CR 2016'!L11+'TRT 2016'!K28</f>
        <v>1130286.97</v>
      </c>
      <c r="L28" s="327">
        <f>'R 2016'!L27+'CR 2016'!M11+'TRT 2016'!L28</f>
        <v>1117104.93</v>
      </c>
      <c r="M28" s="327">
        <f>'R 2016'!M27+'CR 2016'!N11+'TRT 2016'!M28</f>
        <v>958741.38</v>
      </c>
      <c r="N28" s="497">
        <f t="shared" si="0"/>
        <v>11746768.82</v>
      </c>
      <c r="O28" s="388">
        <f>SUM('TOTAL 2015'!B28:M28)</f>
        <v>10872234.109999999</v>
      </c>
      <c r="P28" s="633">
        <f t="shared" si="2"/>
        <v>8.0437442861502229E-2</v>
      </c>
      <c r="Q28" s="566">
        <f t="shared" si="1"/>
        <v>9.6422421496866667E-2</v>
      </c>
      <c r="T28" s="154"/>
    </row>
    <row r="29" spans="1:20">
      <c r="A29" s="151" t="s">
        <v>38</v>
      </c>
      <c r="B29" s="327">
        <f>'R 2016'!B28+'TRT 2016'!B29</f>
        <v>60692</v>
      </c>
      <c r="C29" s="327">
        <f>'R 2016'!C28+'TRT 2016'!C29</f>
        <v>250359.14</v>
      </c>
      <c r="D29" s="327">
        <f>'R 2016'!D28+'TRT 2016'!D29</f>
        <v>469795.62</v>
      </c>
      <c r="E29" s="327">
        <f>'R 2016'!E28+'TRT 2016'!E29</f>
        <v>85144.23000000001</v>
      </c>
      <c r="F29" s="327">
        <f>'R 2016'!F28+'TRT 2016'!F29</f>
        <v>306172.2</v>
      </c>
      <c r="G29" s="327">
        <f>'R 2016'!G28+'TRT 2016'!G29</f>
        <v>73096.600000000006</v>
      </c>
      <c r="H29" s="327">
        <f>'R 2016'!H28+'TRT 2016'!H29</f>
        <v>118236.12</v>
      </c>
      <c r="I29" s="327">
        <f>'R 2016'!I28+'TRT 2016'!I29</f>
        <v>224021.53999999998</v>
      </c>
      <c r="J29" s="327">
        <f>'R 2016'!J28+'TRT 2016'!J29</f>
        <v>191634</v>
      </c>
      <c r="K29" s="327">
        <f>'R 2016'!K28+'TRT 2016'!K29</f>
        <v>179144.21</v>
      </c>
      <c r="L29" s="327">
        <f>'R 2016'!L28+'TRT 2016'!L29</f>
        <v>278592.40000000002</v>
      </c>
      <c r="M29" s="327">
        <f>'R 2016'!M28+'TRT 2016'!M29</f>
        <v>90930.82</v>
      </c>
      <c r="N29" s="497">
        <f t="shared" si="0"/>
        <v>2327818.88</v>
      </c>
      <c r="O29" s="388">
        <f>SUM('TOTAL 2015'!B29:M29)</f>
        <v>2002045.4750000003</v>
      </c>
      <c r="P29" s="633">
        <f t="shared" si="2"/>
        <v>0.1627202823652143</v>
      </c>
      <c r="Q29" s="566">
        <f t="shared" si="1"/>
        <v>1.9107716909655167E-2</v>
      </c>
      <c r="T29" s="154"/>
    </row>
    <row r="30" spans="1:20">
      <c r="A30" s="92" t="s">
        <v>39</v>
      </c>
      <c r="B30" s="327">
        <f>'R 2016'!B29+'CR 2016'!C12+'TRT 2016'!B30</f>
        <v>519321</v>
      </c>
      <c r="C30" s="327">
        <f>'R 2016'!C29+'CR 2016'!D12+'TRT 2016'!C30</f>
        <v>678718.16999999993</v>
      </c>
      <c r="D30" s="327">
        <f>'R 2016'!D29+'CR 2016'!E12+'TRT 2016'!D30</f>
        <v>477721.86</v>
      </c>
      <c r="E30" s="327">
        <f>'R 2016'!E29+'CR 2016'!F12+'TRT 2016'!E30</f>
        <v>544110.5</v>
      </c>
      <c r="F30" s="327">
        <f>'R 2016'!F29+'CR 2016'!G12+'TRT 2016'!F30</f>
        <v>1174285.3499999999</v>
      </c>
      <c r="G30" s="327">
        <f>'R 2016'!G29+'CR 2016'!H12+'TRT 2016'!G30</f>
        <v>820539.78</v>
      </c>
      <c r="H30" s="327">
        <f>'R 2016'!H29+'CR 2016'!I12+'TRT 2016'!H30</f>
        <v>860504.77</v>
      </c>
      <c r="I30" s="327">
        <f>'R 2016'!I29+'CR 2016'!J12+'TRT 2016'!I30</f>
        <v>1120013.96</v>
      </c>
      <c r="J30" s="327">
        <f>'R 2016'!J29+'CR 2016'!K12+'TRT 2016'!J30</f>
        <v>899596.82000000007</v>
      </c>
      <c r="K30" s="327">
        <f>'R 2016'!K29+'CR 2016'!L12+'TRT 2016'!K30</f>
        <v>901644.92999999993</v>
      </c>
      <c r="L30" s="327">
        <f>'R 2016'!L29+'CR 2016'!M12+'TRT 2016'!L30</f>
        <v>1201943.69</v>
      </c>
      <c r="M30" s="327">
        <f>'R 2016'!M29+'CR 2016'!N12+'TRT 2016'!M30</f>
        <v>912782.48</v>
      </c>
      <c r="N30" s="497">
        <f t="shared" si="0"/>
        <v>10111183.310000001</v>
      </c>
      <c r="O30" s="388">
        <f>SUM('TOTAL 2015'!B30:M30)</f>
        <v>8765523.5500000007</v>
      </c>
      <c r="P30" s="633">
        <f t="shared" si="2"/>
        <v>0.1535173286939604</v>
      </c>
      <c r="Q30" s="566">
        <f t="shared" si="1"/>
        <v>8.2996847378912109E-2</v>
      </c>
      <c r="T30" s="154"/>
    </row>
    <row r="31" spans="1:20">
      <c r="A31" s="92" t="s">
        <v>40</v>
      </c>
      <c r="B31" s="327">
        <f>'R 2016'!B30+'TRT 2016'!B31</f>
        <v>10162</v>
      </c>
      <c r="C31" s="327">
        <f>'R 2016'!C30+'TRT 2016'!C31</f>
        <v>24873.27</v>
      </c>
      <c r="D31" s="327">
        <f>'R 2016'!D30+'TRT 2016'!D31</f>
        <v>3116.8199999999997</v>
      </c>
      <c r="E31" s="327">
        <f>'R 2016'!E30+'TRT 2016'!E31</f>
        <v>5479.6</v>
      </c>
      <c r="F31" s="327">
        <f>'R 2016'!F30+'TRT 2016'!F31</f>
        <v>29026.530000000002</v>
      </c>
      <c r="G31" s="327">
        <f>'R 2016'!G30+'TRT 2016'!G31</f>
        <v>30036.38</v>
      </c>
      <c r="H31" s="327">
        <f>'R 2016'!H30+'TRT 2016'!H31</f>
        <v>48146.94</v>
      </c>
      <c r="I31" s="327">
        <f>'R 2016'!I30+'TRT 2016'!I31</f>
        <v>88537.46</v>
      </c>
      <c r="J31" s="327">
        <f>'R 2016'!J30+'TRT 2016'!J31</f>
        <v>48317.49</v>
      </c>
      <c r="K31" s="327">
        <f>'R 2016'!K30+'TRT 2016'!K31</f>
        <v>57225.34</v>
      </c>
      <c r="L31" s="327">
        <f>'R 2016'!L30+'TRT 2016'!L31</f>
        <v>94346.5</v>
      </c>
      <c r="M31" s="327">
        <f>'R 2016'!M30+'TRT 2016'!M31</f>
        <v>49115.24</v>
      </c>
      <c r="N31" s="497">
        <f t="shared" si="0"/>
        <v>488383.56999999995</v>
      </c>
      <c r="O31" s="388">
        <f>SUM('TOTAL 2015'!B31:M31)</f>
        <v>380502.37</v>
      </c>
      <c r="P31" s="633">
        <f t="shared" si="2"/>
        <v>0.28352306977746267</v>
      </c>
      <c r="Q31" s="566">
        <f t="shared" si="1"/>
        <v>4.0088578536173558E-3</v>
      </c>
    </row>
    <row r="32" spans="1:20" ht="13" thickBot="1">
      <c r="A32" s="93" t="s">
        <v>41</v>
      </c>
      <c r="B32" s="499">
        <f>'R 2016'!B31+'CR 2016'!C13+'TRT 2016'!B32</f>
        <v>311821</v>
      </c>
      <c r="C32" s="499">
        <f>'R 2016'!C31+'CR 2016'!D13+'TRT 2016'!C32</f>
        <v>485325.93000000005</v>
      </c>
      <c r="D32" s="499">
        <f>'R 2016'!D31+'CR 2016'!E13+'TRT 2016'!D32</f>
        <v>363349.99</v>
      </c>
      <c r="E32" s="499">
        <f>'R 2016'!E31+'CR 2016'!F13+'TRT 2016'!E32</f>
        <v>339886.41</v>
      </c>
      <c r="F32" s="499">
        <f>'R 2016'!F31+'CR 2016'!G13+'TRT 2016'!F32</f>
        <v>608198.16999999993</v>
      </c>
      <c r="G32" s="499">
        <f>'R 2016'!G31+'CR 2016'!H13+'TRT 2016'!G32</f>
        <v>366668.64</v>
      </c>
      <c r="H32" s="499">
        <f>'R 2016'!H31+'CR 2016'!I13+'TRT 2016'!H32</f>
        <v>373642.12</v>
      </c>
      <c r="I32" s="499">
        <f>'R 2016'!I31+'CR 2016'!J13+'TRT 2016'!I32</f>
        <v>560919.34</v>
      </c>
      <c r="J32" s="499">
        <f>'R 2016'!J31+'CR 2016'!K13+'TRT 2016'!J32</f>
        <v>485812.94999999995</v>
      </c>
      <c r="K32" s="499">
        <f>'R 2016'!K31+'CR 2016'!L13+'TRT 2016'!K32</f>
        <v>466057.74</v>
      </c>
      <c r="L32" s="499">
        <f>'R 2016'!L31+'CR 2016'!M13+'TRT 2016'!L32</f>
        <v>530179.14</v>
      </c>
      <c r="M32" s="499">
        <f>'R 2016'!M31+'CR 2016'!N13+'TRT 2016'!M32</f>
        <v>380680.58999999997</v>
      </c>
      <c r="N32" s="500">
        <f t="shared" si="0"/>
        <v>5272542.0199999996</v>
      </c>
      <c r="O32" s="388">
        <f>SUM('TOTAL 2015'!B32:M32)</f>
        <v>4971203.1000000006</v>
      </c>
      <c r="P32" s="634">
        <f>N32/O32-1</f>
        <v>6.0616899760140397E-2</v>
      </c>
      <c r="Q32" s="567">
        <f t="shared" si="1"/>
        <v>4.3279243577756962E-2</v>
      </c>
    </row>
    <row r="33" spans="1:20" ht="14" thickTop="1" thickBot="1">
      <c r="A33" s="470" t="s">
        <v>54</v>
      </c>
      <c r="B33" s="501">
        <f t="shared" ref="B33:N33" si="3">SUM(B4:B32)</f>
        <v>6527771.8200000003</v>
      </c>
      <c r="C33" s="502">
        <f t="shared" si="3"/>
        <v>10293860.73</v>
      </c>
      <c r="D33" s="501">
        <f t="shared" si="3"/>
        <v>9474587.3209999986</v>
      </c>
      <c r="E33" s="501">
        <f t="shared" si="3"/>
        <v>8574534.2599999998</v>
      </c>
      <c r="F33" s="501">
        <f t="shared" si="3"/>
        <v>13712056.829999996</v>
      </c>
      <c r="G33" s="501">
        <f t="shared" si="3"/>
        <v>7868110.8499999996</v>
      </c>
      <c r="H33" s="503">
        <f t="shared" si="3"/>
        <v>8965509.4999999981</v>
      </c>
      <c r="I33" s="501">
        <f t="shared" si="3"/>
        <v>12285783.68</v>
      </c>
      <c r="J33" s="501">
        <f t="shared" si="3"/>
        <v>11257275.079999998</v>
      </c>
      <c r="K33" s="501">
        <f t="shared" si="3"/>
        <v>11424280.109999999</v>
      </c>
      <c r="L33" s="501">
        <f t="shared" si="3"/>
        <v>12283263.67</v>
      </c>
      <c r="M33" s="504">
        <f t="shared" si="3"/>
        <v>9159079.1799999997</v>
      </c>
      <c r="N33" s="505">
        <f t="shared" si="3"/>
        <v>121826113.03099997</v>
      </c>
      <c r="O33" s="453">
        <f>SUM(O4:O32)</f>
        <v>113138832.05499998</v>
      </c>
      <c r="P33" s="476">
        <f>(N33-O33)/O33</f>
        <v>7.6784255398507764E-2</v>
      </c>
      <c r="Q33" s="568">
        <f>SUM(Q4:Q32)</f>
        <v>1.0000000000000002</v>
      </c>
      <c r="T33" s="219"/>
    </row>
    <row r="34" spans="1:20" ht="13" thickBot="1">
      <c r="A34" s="537" t="s">
        <v>344</v>
      </c>
      <c r="B34" s="538">
        <f>B33/'TOTAL 2015'!B33-1</f>
        <v>0.10060930448008332</v>
      </c>
      <c r="C34" s="538">
        <f>C33/'TOTAL 2015'!C33-1</f>
        <v>6.3965825195125836E-2</v>
      </c>
      <c r="D34" s="538">
        <f>D33/'TOTAL 2015'!D33-1</f>
        <v>4.041762706703933E-2</v>
      </c>
      <c r="E34" s="538">
        <f>E33/'TOTAL 2015'!E33-1</f>
        <v>5.2215277175098551E-2</v>
      </c>
      <c r="F34" s="538">
        <f>F33/'TOTAL 2015'!F33-1</f>
        <v>0.15116282364418887</v>
      </c>
      <c r="G34" s="538">
        <f>G33/'TOTAL 2015'!G33-1</f>
        <v>-4.3685162633802621E-2</v>
      </c>
      <c r="H34" s="538">
        <f>H33/'TOTAL 2015'!H33-1</f>
        <v>9.5500567354566579E-2</v>
      </c>
      <c r="I34" s="538">
        <f>I33/'TOTAL 2015'!I33-1</f>
        <v>6.9930005881661872E-2</v>
      </c>
      <c r="J34" s="538">
        <f>J33/'TOTAL 2015'!J33-1</f>
        <v>0.11722355755696756</v>
      </c>
      <c r="K34" s="538">
        <f>K33/'TOTAL 2015'!K33-1</f>
        <v>0.10428916292846946</v>
      </c>
      <c r="L34" s="538">
        <f>L33/'TOTAL 2015'!L33-1</f>
        <v>8.1930874831803058E-2</v>
      </c>
      <c r="M34" s="538">
        <f>M33/'TOTAL 2015'!M33-1</f>
        <v>5.3142229505213079E-2</v>
      </c>
      <c r="N34" s="569"/>
      <c r="O34" s="570"/>
      <c r="P34" s="571"/>
      <c r="Q34" s="574"/>
    </row>
    <row r="35" spans="1:20">
      <c r="A35" s="688" t="s">
        <v>345</v>
      </c>
      <c r="B35" s="689"/>
      <c r="C35" s="689"/>
      <c r="D35" s="689"/>
      <c r="E35" s="689"/>
      <c r="F35" s="689"/>
      <c r="G35" s="689"/>
      <c r="H35" s="689"/>
      <c r="I35" s="689"/>
      <c r="J35" s="689"/>
      <c r="K35" s="689"/>
      <c r="L35" s="689"/>
      <c r="M35" s="689"/>
      <c r="N35" s="689"/>
      <c r="O35" s="689"/>
      <c r="P35" s="689"/>
      <c r="Q35" s="689"/>
    </row>
    <row r="36" spans="1:20">
      <c r="I36" s="116"/>
    </row>
    <row r="37" spans="1:20">
      <c r="I37" s="116"/>
      <c r="J37" s="121"/>
      <c r="T37" s="227"/>
    </row>
    <row r="38" spans="1:20">
      <c r="I38" s="116"/>
      <c r="J38" s="121"/>
    </row>
    <row r="39" spans="1:20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20">
      <c r="I40" s="116"/>
    </row>
    <row r="41" spans="1:20">
      <c r="I41" s="116"/>
    </row>
    <row r="84" spans="16:16" ht="13" thickBot="1">
      <c r="P84" s="169"/>
    </row>
  </sheetData>
  <mergeCells count="2">
    <mergeCell ref="A1:Q1"/>
    <mergeCell ref="A35:Q35"/>
  </mergeCells>
  <conditionalFormatting sqref="P8:Q32">
    <cfRule type="cellIs" dxfId="13" priority="1" operator="lessThan">
      <formula>0</formula>
    </cfRule>
  </conditionalFormatting>
  <hyperlinks>
    <hyperlink ref="A35" r:id="rId1"/>
  </hyperlinks>
  <printOptions horizontalCentered="1"/>
  <pageMargins left="0.25" right="0.25" top="0.25" bottom="0.25" header="0" footer="0"/>
  <pageSetup scale="84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FF0000"/>
    <pageSetUpPr fitToPage="1"/>
  </sheetPr>
  <dimension ref="A1:Q55"/>
  <sheetViews>
    <sheetView workbookViewId="0">
      <pane ySplit="3" topLeftCell="A4" activePane="bottomLeft" state="frozen"/>
      <selection pane="bottomLeft" activeCell="Q10" sqref="Q10"/>
    </sheetView>
  </sheetViews>
  <sheetFormatPr baseColWidth="10" defaultColWidth="9.1640625" defaultRowHeight="10" x14ac:dyDescent="0"/>
  <cols>
    <col min="1" max="1" width="16.5" style="394" bestFit="1" customWidth="1"/>
    <col min="2" max="2" width="11.5" style="394" bestFit="1" customWidth="1"/>
    <col min="3" max="4" width="7.5" style="394" bestFit="1" customWidth="1"/>
    <col min="5" max="7" width="8.6640625" style="394" bestFit="1" customWidth="1"/>
    <col min="8" max="9" width="7.5" style="394" bestFit="1" customWidth="1"/>
    <col min="10" max="14" width="8.6640625" style="394" bestFit="1" customWidth="1"/>
    <col min="15" max="16" width="9.5" style="394" bestFit="1" customWidth="1"/>
    <col min="17" max="17" width="8.6640625" style="394" bestFit="1" customWidth="1"/>
    <col min="18" max="16384" width="9.1640625" style="394"/>
  </cols>
  <sheetData>
    <row r="1" spans="1:17" ht="17">
      <c r="A1" s="692" t="s">
        <v>309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</row>
    <row r="2" spans="1:17" ht="11" thickBot="1">
      <c r="A2" s="383"/>
      <c r="B2" s="384"/>
    </row>
    <row r="3" spans="1:17" ht="11" thickBot="1">
      <c r="A3" s="385" t="s">
        <v>310</v>
      </c>
      <c r="B3" s="385" t="s">
        <v>311</v>
      </c>
      <c r="C3" s="385">
        <v>41640</v>
      </c>
      <c r="D3" s="385">
        <v>41671</v>
      </c>
      <c r="E3" s="385">
        <v>41699</v>
      </c>
      <c r="F3" s="385">
        <v>41730</v>
      </c>
      <c r="G3" s="385">
        <v>41760</v>
      </c>
      <c r="H3" s="385">
        <v>41791</v>
      </c>
      <c r="I3" s="385">
        <v>41821</v>
      </c>
      <c r="J3" s="385">
        <v>41852</v>
      </c>
      <c r="K3" s="385">
        <v>41883</v>
      </c>
      <c r="L3" s="385">
        <v>41913</v>
      </c>
      <c r="M3" s="385">
        <v>41944</v>
      </c>
      <c r="N3" s="385">
        <v>41974</v>
      </c>
      <c r="O3" s="393" t="s">
        <v>147</v>
      </c>
      <c r="P3" s="391" t="s">
        <v>127</v>
      </c>
      <c r="Q3" s="392" t="s">
        <v>265</v>
      </c>
    </row>
    <row r="4" spans="1:17">
      <c r="A4" s="421" t="s">
        <v>165</v>
      </c>
      <c r="B4" s="422">
        <v>6000</v>
      </c>
      <c r="C4" s="423">
        <v>28317.84</v>
      </c>
      <c r="D4" s="423">
        <f>4018.66+25717.6</f>
        <v>29736.26</v>
      </c>
      <c r="E4" s="424">
        <f>5129.91+38008.24</f>
        <v>43138.149999999994</v>
      </c>
      <c r="F4" s="423">
        <f>5096.33+33871.97</f>
        <v>38968.300000000003</v>
      </c>
      <c r="G4" s="425">
        <f>7131.04+49251.74</f>
        <v>56382.78</v>
      </c>
      <c r="H4" s="426">
        <f>6873.95+27821.56</f>
        <v>34695.51</v>
      </c>
      <c r="I4" s="423">
        <f>5632.9+26515.05</f>
        <v>32147.949999999997</v>
      </c>
      <c r="J4" s="423">
        <f t="shared" ref="J4:K13" si="0">SUM(J33,J45)</f>
        <v>44530.54</v>
      </c>
      <c r="K4" s="423">
        <f t="shared" si="0"/>
        <v>62907.21</v>
      </c>
      <c r="L4" s="423">
        <f>SUM(L33,L45)</f>
        <v>67979.820000000007</v>
      </c>
      <c r="M4" s="423">
        <f t="shared" ref="M4:N4" si="1">SUM(M33,M45)</f>
        <v>45448.789999999994</v>
      </c>
      <c r="N4" s="423">
        <f t="shared" si="1"/>
        <v>38058.68</v>
      </c>
      <c r="O4" s="386">
        <f t="shared" ref="O4:O13" si="2">SUM(C4:N4)</f>
        <v>522311.82999999996</v>
      </c>
      <c r="P4" s="388">
        <f>SUM('CR 2013'!C4:N4)</f>
        <v>460395.06000000006</v>
      </c>
      <c r="Q4" s="389">
        <f t="shared" ref="Q4:Q14" si="3">O4/P4-1</f>
        <v>0.13448617367875304</v>
      </c>
    </row>
    <row r="5" spans="1:17">
      <c r="A5" s="421" t="s">
        <v>173</v>
      </c>
      <c r="B5" s="422">
        <v>7000</v>
      </c>
      <c r="C5" s="423">
        <v>0</v>
      </c>
      <c r="D5" s="423">
        <v>0</v>
      </c>
      <c r="E5" s="423">
        <v>0</v>
      </c>
      <c r="F5" s="423">
        <v>0</v>
      </c>
      <c r="G5" s="424">
        <v>0</v>
      </c>
      <c r="H5" s="426">
        <v>0</v>
      </c>
      <c r="I5" s="423">
        <v>0</v>
      </c>
      <c r="J5" s="423">
        <f t="shared" si="0"/>
        <v>0</v>
      </c>
      <c r="K5" s="423">
        <f t="shared" si="0"/>
        <v>0</v>
      </c>
      <c r="L5" s="423">
        <f t="shared" ref="L5:N5" si="4">SUM(L34,L46)</f>
        <v>0</v>
      </c>
      <c r="M5" s="423">
        <f t="shared" si="4"/>
        <v>0</v>
      </c>
      <c r="N5" s="423">
        <f t="shared" si="4"/>
        <v>0</v>
      </c>
      <c r="O5" s="386">
        <f t="shared" si="2"/>
        <v>0</v>
      </c>
      <c r="P5" s="388">
        <f>SUM('CR 2013'!C5:N5)</f>
        <v>55.09</v>
      </c>
      <c r="Q5" s="617">
        <f>O5/P5-1</f>
        <v>-1</v>
      </c>
    </row>
    <row r="6" spans="1:17">
      <c r="A6" s="421" t="s">
        <v>179</v>
      </c>
      <c r="B6" s="422">
        <v>10000</v>
      </c>
      <c r="C6" s="423"/>
      <c r="D6" s="423">
        <v>1576.01</v>
      </c>
      <c r="E6" s="424">
        <v>420.49</v>
      </c>
      <c r="F6" s="423">
        <v>1172.25</v>
      </c>
      <c r="G6" s="424">
        <v>7981.02</v>
      </c>
      <c r="H6" s="426">
        <v>8919.5300000000007</v>
      </c>
      <c r="I6" s="423">
        <v>10259.219999999999</v>
      </c>
      <c r="J6" s="423">
        <f t="shared" si="0"/>
        <v>15990.69</v>
      </c>
      <c r="K6" s="423">
        <f t="shared" si="0"/>
        <v>10472.07</v>
      </c>
      <c r="L6" s="423">
        <f t="shared" ref="L6:N6" si="5">SUM(L35,L47)</f>
        <v>6104.62</v>
      </c>
      <c r="M6" s="423">
        <f t="shared" si="5"/>
        <v>13342.69</v>
      </c>
      <c r="N6" s="423">
        <f t="shared" si="5"/>
        <v>12787.01</v>
      </c>
      <c r="O6" s="386">
        <f t="shared" si="2"/>
        <v>89025.600000000006</v>
      </c>
      <c r="P6" s="388">
        <f>SUM('CR 2013'!C6:N6)</f>
        <v>47368.409999999996</v>
      </c>
      <c r="Q6" s="389">
        <f t="shared" si="3"/>
        <v>0.87942977186694704</v>
      </c>
    </row>
    <row r="7" spans="1:17">
      <c r="A7" s="421" t="s">
        <v>192</v>
      </c>
      <c r="B7" s="422">
        <v>15000</v>
      </c>
      <c r="C7" s="423">
        <v>608.51</v>
      </c>
      <c r="D7" s="423">
        <f>3.89+686.75</f>
        <v>690.64</v>
      </c>
      <c r="E7" s="424">
        <v>1033.08</v>
      </c>
      <c r="F7" s="423">
        <v>905.43</v>
      </c>
      <c r="G7" s="424">
        <v>1324.66</v>
      </c>
      <c r="H7" s="426">
        <v>665.68</v>
      </c>
      <c r="I7" s="423">
        <v>661.07</v>
      </c>
      <c r="J7" s="423">
        <f t="shared" si="0"/>
        <v>823.89</v>
      </c>
      <c r="K7" s="423">
        <f t="shared" si="0"/>
        <v>1090.79</v>
      </c>
      <c r="L7" s="423">
        <f t="shared" ref="L7:N7" si="6">SUM(L36,L48)</f>
        <v>1241.28</v>
      </c>
      <c r="M7" s="423">
        <f t="shared" si="6"/>
        <v>856.09999999999991</v>
      </c>
      <c r="N7" s="423">
        <f t="shared" si="6"/>
        <v>741.38</v>
      </c>
      <c r="O7" s="386">
        <f t="shared" si="2"/>
        <v>10642.51</v>
      </c>
      <c r="P7" s="388">
        <f>SUM('CR 2013'!C7:N7)</f>
        <v>8984.41</v>
      </c>
      <c r="Q7" s="389">
        <f t="shared" si="3"/>
        <v>0.18455302017606057</v>
      </c>
    </row>
    <row r="8" spans="1:17">
      <c r="A8" s="421" t="s">
        <v>195</v>
      </c>
      <c r="B8" s="422">
        <v>18000</v>
      </c>
      <c r="C8" s="423">
        <v>711630.11</v>
      </c>
      <c r="D8" s="423">
        <f>423008.36+373939.51</f>
        <v>796947.87</v>
      </c>
      <c r="E8" s="424">
        <f>655661.61+582594.37</f>
        <v>1238255.98</v>
      </c>
      <c r="F8" s="423">
        <f>571608.29+507352.98</f>
        <v>1078961.27</v>
      </c>
      <c r="G8" s="424">
        <f>748886.53+842451.06</f>
        <v>1591337.59</v>
      </c>
      <c r="H8" s="426">
        <f>356638.97+404971.4</f>
        <v>761610.37</v>
      </c>
      <c r="I8" s="423">
        <f>353650.95+401683.35</f>
        <v>755334.3</v>
      </c>
      <c r="J8" s="423">
        <f t="shared" si="0"/>
        <v>921659.83</v>
      </c>
      <c r="K8" s="423">
        <f t="shared" si="0"/>
        <v>1233705.4300000002</v>
      </c>
      <c r="L8" s="423">
        <f t="shared" ref="L8:N8" si="7">SUM(L37,L49)</f>
        <v>1421659.9100000001</v>
      </c>
      <c r="M8" s="423">
        <f>SUM(M37,M49)</f>
        <v>914578.04</v>
      </c>
      <c r="N8" s="423">
        <f t="shared" si="7"/>
        <v>831178.8</v>
      </c>
      <c r="O8" s="386">
        <f t="shared" si="2"/>
        <v>12256859.5</v>
      </c>
      <c r="P8" s="388">
        <f>SUM('CR 2013'!C8:N8)</f>
        <v>10381469.57</v>
      </c>
      <c r="Q8" s="389">
        <f t="shared" si="3"/>
        <v>0.1806478280704531</v>
      </c>
    </row>
    <row r="9" spans="1:17">
      <c r="A9" s="421" t="s">
        <v>211</v>
      </c>
      <c r="B9" s="422">
        <v>21000</v>
      </c>
      <c r="C9" s="423">
        <v>1463.16</v>
      </c>
      <c r="D9" s="423">
        <f>223.34+4654.13</f>
        <v>4877.47</v>
      </c>
      <c r="E9" s="424">
        <f>35.71+2219.62</f>
        <v>2255.33</v>
      </c>
      <c r="F9" s="423">
        <f>65.76+1977.5</f>
        <v>2043.26</v>
      </c>
      <c r="G9" s="424">
        <f>35.87+2836.8</f>
        <v>2872.67</v>
      </c>
      <c r="H9" s="426">
        <v>1416.5</v>
      </c>
      <c r="I9" s="423">
        <f>7.91+1406.39</f>
        <v>1414.3000000000002</v>
      </c>
      <c r="J9" s="423">
        <f t="shared" si="0"/>
        <v>1996.96</v>
      </c>
      <c r="K9" s="423">
        <f t="shared" si="0"/>
        <v>2280.8500000000004</v>
      </c>
      <c r="L9" s="423">
        <f t="shared" ref="L9:N9" si="8">SUM(L38,L50)</f>
        <v>2649.3</v>
      </c>
      <c r="M9" s="423">
        <f t="shared" si="8"/>
        <v>2309.5</v>
      </c>
      <c r="N9" s="423">
        <f t="shared" si="8"/>
        <v>1519.63</v>
      </c>
      <c r="O9" s="386">
        <f t="shared" si="2"/>
        <v>27098.93</v>
      </c>
      <c r="P9" s="388">
        <f>SUM('CR 2013'!C9:N9)</f>
        <v>20147.13</v>
      </c>
      <c r="Q9" s="389">
        <f t="shared" si="3"/>
        <v>0.34505162770081887</v>
      </c>
    </row>
    <row r="10" spans="1:17">
      <c r="A10" s="421" t="s">
        <v>217</v>
      </c>
      <c r="B10" s="422">
        <v>24000</v>
      </c>
      <c r="C10" s="423">
        <v>1071.3699999999999</v>
      </c>
      <c r="D10" s="423">
        <f>1219.06</f>
        <v>1219.06</v>
      </c>
      <c r="E10" s="424">
        <f>871.34</f>
        <v>871.34</v>
      </c>
      <c r="F10" s="423">
        <f>642.71</f>
        <v>642.71</v>
      </c>
      <c r="G10" s="424">
        <v>1316.18</v>
      </c>
      <c r="H10" s="426">
        <v>1148.76</v>
      </c>
      <c r="I10" s="423">
        <v>1311</v>
      </c>
      <c r="J10" s="423">
        <f t="shared" si="0"/>
        <v>1542</v>
      </c>
      <c r="K10" s="423">
        <f t="shared" si="0"/>
        <v>1173.67</v>
      </c>
      <c r="L10" s="423">
        <f t="shared" ref="L10:N10" si="9">SUM(L39,L51)</f>
        <v>995.52</v>
      </c>
      <c r="M10" s="423">
        <f t="shared" si="9"/>
        <v>983.71</v>
      </c>
      <c r="N10" s="423">
        <f t="shared" si="9"/>
        <v>1122.8</v>
      </c>
      <c r="O10" s="386">
        <f t="shared" si="2"/>
        <v>13398.119999999999</v>
      </c>
      <c r="P10" s="388">
        <f>SUM('CR 2013'!C10:N10)</f>
        <v>17860.340000000004</v>
      </c>
      <c r="Q10" s="617">
        <f t="shared" si="3"/>
        <v>-0.24983958872003575</v>
      </c>
    </row>
    <row r="11" spans="1:17">
      <c r="A11" s="421" t="s">
        <v>221</v>
      </c>
      <c r="B11" s="422">
        <v>25000</v>
      </c>
      <c r="C11" s="423">
        <v>52571.08</v>
      </c>
      <c r="D11" s="423">
        <f>13580.98+50271.66</f>
        <v>63852.639999999999</v>
      </c>
      <c r="E11" s="424">
        <f>68371.55+12337.79</f>
        <v>80709.34</v>
      </c>
      <c r="F11" s="423">
        <f>11821.23+60863.86</f>
        <v>72685.09</v>
      </c>
      <c r="G11" s="424">
        <f>13278.68+85296.23</f>
        <v>98574.91</v>
      </c>
      <c r="H11" s="426">
        <f>14762.5+50414.27</f>
        <v>65176.77</v>
      </c>
      <c r="I11" s="423">
        <f>13647.81+49120.25</f>
        <v>62768.06</v>
      </c>
      <c r="J11" s="423">
        <f t="shared" si="0"/>
        <v>75972.290000000008</v>
      </c>
      <c r="K11" s="423">
        <f t="shared" si="0"/>
        <v>98699.86</v>
      </c>
      <c r="L11" s="423">
        <f t="shared" ref="L11:N11" si="10">SUM(L40,L52)</f>
        <v>108680.98000000001</v>
      </c>
      <c r="M11" s="423">
        <f t="shared" si="10"/>
        <v>75087.77</v>
      </c>
      <c r="N11" s="423">
        <f t="shared" si="10"/>
        <v>68602.070000000007</v>
      </c>
      <c r="O11" s="386">
        <f t="shared" si="2"/>
        <v>923380.8600000001</v>
      </c>
      <c r="P11" s="388">
        <f>SUM('CR 2013'!C11:N11)</f>
        <v>805489.24000000011</v>
      </c>
      <c r="Q11" s="389">
        <f t="shared" si="3"/>
        <v>0.14636026671194258</v>
      </c>
    </row>
    <row r="12" spans="1:17">
      <c r="A12" s="421" t="s">
        <v>231</v>
      </c>
      <c r="B12" s="422">
        <v>27000</v>
      </c>
      <c r="C12" s="423">
        <v>25972.19</v>
      </c>
      <c r="D12" s="423">
        <f>9230.09+18387.3</f>
        <v>27617.39</v>
      </c>
      <c r="E12" s="424">
        <f>8130.53+22821.13</f>
        <v>30951.66</v>
      </c>
      <c r="F12" s="423">
        <f>21081.09+8282.91</f>
        <v>29364</v>
      </c>
      <c r="G12" s="424">
        <f>11540.3+30302.68</f>
        <v>41842.979999999996</v>
      </c>
      <c r="H12" s="426">
        <f>11422.91+20476.7</f>
        <v>31899.61</v>
      </c>
      <c r="I12" s="423">
        <f>13704.76+22538.46</f>
        <v>36243.22</v>
      </c>
      <c r="J12" s="423">
        <f t="shared" si="0"/>
        <v>39939.61</v>
      </c>
      <c r="K12" s="423">
        <f t="shared" si="0"/>
        <v>42858.21</v>
      </c>
      <c r="L12" s="423">
        <f t="shared" ref="L12:N12" si="11">SUM(L41,L53)</f>
        <v>41548.26</v>
      </c>
      <c r="M12" s="423">
        <f t="shared" si="11"/>
        <v>37167.869999999995</v>
      </c>
      <c r="N12" s="423">
        <f t="shared" si="11"/>
        <v>38500.199999999997</v>
      </c>
      <c r="O12" s="386">
        <f t="shared" si="2"/>
        <v>423905.20000000007</v>
      </c>
      <c r="P12" s="388">
        <f>SUM('CR 2013'!C12:N12)</f>
        <v>374577.57</v>
      </c>
      <c r="Q12" s="389">
        <f t="shared" si="3"/>
        <v>0.13168869134369166</v>
      </c>
    </row>
    <row r="13" spans="1:17" ht="11" thickBot="1">
      <c r="A13" s="421" t="s">
        <v>243</v>
      </c>
      <c r="B13" s="427">
        <v>29000</v>
      </c>
      <c r="C13" s="428">
        <v>22375.27</v>
      </c>
      <c r="D13" s="428">
        <f>20715.61+4559.51</f>
        <v>25275.120000000003</v>
      </c>
      <c r="E13" s="429">
        <f>29644.68+5091.66</f>
        <v>34736.339999999997</v>
      </c>
      <c r="F13" s="428">
        <f>4914.41+26403.33</f>
        <v>31317.74</v>
      </c>
      <c r="G13" s="429">
        <f>5544.54+37092.74</f>
        <v>42637.279999999999</v>
      </c>
      <c r="H13" s="430">
        <f>5496.66+21169.94</f>
        <v>26666.6</v>
      </c>
      <c r="I13" s="428">
        <f>5818.68+21359.45</f>
        <v>27178.13</v>
      </c>
      <c r="J13" s="429">
        <f t="shared" si="0"/>
        <v>35230.46</v>
      </c>
      <c r="K13" s="428">
        <f t="shared" si="0"/>
        <v>41489.68</v>
      </c>
      <c r="L13" s="428">
        <f t="shared" ref="L13:N13" si="12">SUM(L42,L54)</f>
        <v>43883.71</v>
      </c>
      <c r="M13" s="428">
        <f t="shared" si="12"/>
        <v>35769.730000000003</v>
      </c>
      <c r="N13" s="428">
        <f t="shared" si="12"/>
        <v>29372.89</v>
      </c>
      <c r="O13" s="387">
        <f t="shared" si="2"/>
        <v>395932.95</v>
      </c>
      <c r="P13" s="388">
        <f>SUM('CR 2013'!C13:N13)</f>
        <v>340608.39999999997</v>
      </c>
      <c r="Q13" s="390">
        <f t="shared" si="3"/>
        <v>0.16242861303479317</v>
      </c>
    </row>
    <row r="14" spans="1:17" ht="11" thickBot="1">
      <c r="A14" s="402" t="s">
        <v>312</v>
      </c>
      <c r="B14" s="402" t="s">
        <v>313</v>
      </c>
      <c r="C14" s="404">
        <f>SUM(C4:C13)</f>
        <v>844009.52999999991</v>
      </c>
      <c r="D14" s="403">
        <f t="shared" ref="D14:N14" si="13">SUM(D4:D13)</f>
        <v>951792.46000000008</v>
      </c>
      <c r="E14" s="405">
        <f t="shared" si="13"/>
        <v>1432371.7100000002</v>
      </c>
      <c r="F14" s="403">
        <f t="shared" si="13"/>
        <v>1256060.05</v>
      </c>
      <c r="G14" s="403">
        <f t="shared" si="13"/>
        <v>1844270.0699999998</v>
      </c>
      <c r="H14" s="404">
        <f t="shared" si="13"/>
        <v>932199.33</v>
      </c>
      <c r="I14" s="404">
        <f t="shared" si="13"/>
        <v>927317.25000000012</v>
      </c>
      <c r="J14" s="404">
        <f t="shared" si="13"/>
        <v>1137686.27</v>
      </c>
      <c r="K14" s="404">
        <f>SUM(K4:K13)</f>
        <v>1494677.7700000003</v>
      </c>
      <c r="L14" s="404">
        <f>SUM(L4:L13)</f>
        <v>1694743.4000000001</v>
      </c>
      <c r="M14" s="404">
        <f t="shared" si="13"/>
        <v>1125544.1999999997</v>
      </c>
      <c r="N14" s="404">
        <f t="shared" si="13"/>
        <v>1021883.4600000001</v>
      </c>
      <c r="O14" s="406">
        <f>SUM(C14:N14)</f>
        <v>14662555.5</v>
      </c>
      <c r="P14" s="558">
        <f>SUM(P4:P13)</f>
        <v>12456955.220000003</v>
      </c>
      <c r="Q14" s="448">
        <f t="shared" si="3"/>
        <v>0.17705773530106628</v>
      </c>
    </row>
    <row r="15" spans="1:17" ht="11" thickBot="1">
      <c r="A15" s="383" t="s">
        <v>312</v>
      </c>
      <c r="B15" s="383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</row>
    <row r="16" spans="1:17">
      <c r="A16" s="383" t="s">
        <v>312</v>
      </c>
      <c r="B16" s="415" t="s">
        <v>314</v>
      </c>
      <c r="C16" s="417">
        <f t="shared" ref="C16:N16" si="14">C14</f>
        <v>844009.52999999991</v>
      </c>
      <c r="D16" s="417">
        <f t="shared" si="14"/>
        <v>951792.46000000008</v>
      </c>
      <c r="E16" s="417">
        <f t="shared" si="14"/>
        <v>1432371.7100000002</v>
      </c>
      <c r="F16" s="417">
        <f t="shared" si="14"/>
        <v>1256060.05</v>
      </c>
      <c r="G16" s="417">
        <f t="shared" si="14"/>
        <v>1844270.0699999998</v>
      </c>
      <c r="H16" s="417">
        <f t="shared" si="14"/>
        <v>932199.33</v>
      </c>
      <c r="I16" s="417">
        <f t="shared" si="14"/>
        <v>927317.25000000012</v>
      </c>
      <c r="J16" s="417">
        <f t="shared" si="14"/>
        <v>1137686.27</v>
      </c>
      <c r="K16" s="417">
        <f t="shared" si="14"/>
        <v>1494677.7700000003</v>
      </c>
      <c r="L16" s="417">
        <f t="shared" si="14"/>
        <v>1694743.4000000001</v>
      </c>
      <c r="M16" s="417">
        <f t="shared" si="14"/>
        <v>1125544.1999999997</v>
      </c>
      <c r="N16" s="418">
        <f t="shared" si="14"/>
        <v>1021883.4600000001</v>
      </c>
    </row>
    <row r="17" spans="1:15" ht="11" thickBot="1">
      <c r="A17" s="383" t="s">
        <v>312</v>
      </c>
      <c r="B17" s="413" t="s">
        <v>315</v>
      </c>
      <c r="C17" s="419">
        <f>'CR 2013'!C16</f>
        <v>730617.29</v>
      </c>
      <c r="D17" s="419">
        <f>'CR 2013'!D16</f>
        <v>801666.65999999992</v>
      </c>
      <c r="E17" s="419">
        <f>'CR 2013'!E16</f>
        <v>1232066.8500000001</v>
      </c>
      <c r="F17" s="419">
        <f>'CR 2013'!F16</f>
        <v>1127642.92</v>
      </c>
      <c r="G17" s="419">
        <f>'CR 2013'!G16</f>
        <v>1238453.1999999997</v>
      </c>
      <c r="H17" s="419">
        <f>'CR 2013'!H16</f>
        <v>859102.74999999988</v>
      </c>
      <c r="I17" s="419">
        <f>'CR 2013'!I16</f>
        <v>820113.6</v>
      </c>
      <c r="J17" s="419">
        <f>'CR 2013'!J16</f>
        <v>1059379.3399999999</v>
      </c>
      <c r="K17" s="419">
        <f>'CR 2013'!K16</f>
        <v>1230395.1199999999</v>
      </c>
      <c r="L17" s="419">
        <f>'CR 2013'!L16</f>
        <v>1435953.25</v>
      </c>
      <c r="M17" s="419">
        <f>'CR 2013'!M16</f>
        <v>1032196.14</v>
      </c>
      <c r="N17" s="420">
        <f>'CR 2013'!N16</f>
        <v>889368.1</v>
      </c>
      <c r="O17" s="396"/>
    </row>
    <row r="18" spans="1:15" ht="11" thickBot="1">
      <c r="A18" s="383" t="s">
        <v>312</v>
      </c>
      <c r="B18" s="416" t="s">
        <v>265</v>
      </c>
      <c r="C18" s="414">
        <f t="shared" ref="C18:N18" si="15">(C16/C17)-1</f>
        <v>0.15520059756592941</v>
      </c>
      <c r="D18" s="414">
        <f t="shared" si="15"/>
        <v>0.18726711174442534</v>
      </c>
      <c r="E18" s="414">
        <f t="shared" si="15"/>
        <v>0.16257629202506352</v>
      </c>
      <c r="F18" s="414">
        <f t="shared" si="15"/>
        <v>0.11388102361339714</v>
      </c>
      <c r="G18" s="414">
        <f t="shared" si="15"/>
        <v>0.48917219479912544</v>
      </c>
      <c r="H18" s="414">
        <f t="shared" si="15"/>
        <v>8.5084793408006343E-2</v>
      </c>
      <c r="I18" s="414">
        <f t="shared" si="15"/>
        <v>0.13071804930438913</v>
      </c>
      <c r="J18" s="414">
        <f t="shared" si="15"/>
        <v>7.3917743194803265E-2</v>
      </c>
      <c r="K18" s="414">
        <f t="shared" si="15"/>
        <v>0.21479494326993143</v>
      </c>
      <c r="L18" s="414">
        <f t="shared" si="15"/>
        <v>0.18022184914446204</v>
      </c>
      <c r="M18" s="414">
        <f t="shared" si="15"/>
        <v>9.0436358345614254E-2</v>
      </c>
      <c r="N18" s="414">
        <f t="shared" si="15"/>
        <v>0.14899945253264657</v>
      </c>
    </row>
    <row r="19" spans="1:15" ht="11" thickBot="1"/>
    <row r="20" spans="1:15">
      <c r="A20" s="431" t="s">
        <v>316</v>
      </c>
      <c r="B20" s="432" t="s">
        <v>317</v>
      </c>
      <c r="C20" s="433" t="s">
        <v>318</v>
      </c>
      <c r="D20" s="434" t="s">
        <v>319</v>
      </c>
    </row>
    <row r="21" spans="1:15">
      <c r="A21" s="439" t="s">
        <v>165</v>
      </c>
      <c r="B21" s="440" t="s">
        <v>320</v>
      </c>
      <c r="C21" s="435">
        <v>0.03</v>
      </c>
      <c r="D21" s="436">
        <v>0.04</v>
      </c>
    </row>
    <row r="22" spans="1:15">
      <c r="A22" s="439" t="s">
        <v>173</v>
      </c>
      <c r="B22" s="440" t="s">
        <v>321</v>
      </c>
      <c r="C22" s="435">
        <v>0.03</v>
      </c>
      <c r="D22" s="436"/>
    </row>
    <row r="23" spans="1:15">
      <c r="A23" s="439" t="s">
        <v>179</v>
      </c>
      <c r="B23" s="440" t="s">
        <v>322</v>
      </c>
      <c r="C23" s="435">
        <v>0.03</v>
      </c>
      <c r="D23" s="436"/>
    </row>
    <row r="24" spans="1:15">
      <c r="A24" s="439" t="s">
        <v>192</v>
      </c>
      <c r="B24" s="440" t="s">
        <v>323</v>
      </c>
      <c r="C24" s="435">
        <v>0.03</v>
      </c>
      <c r="D24" s="436">
        <v>0.04</v>
      </c>
    </row>
    <row r="25" spans="1:15">
      <c r="A25" s="439" t="s">
        <v>195</v>
      </c>
      <c r="B25" s="440" t="s">
        <v>324</v>
      </c>
      <c r="C25" s="435">
        <v>0.03</v>
      </c>
      <c r="D25" s="436">
        <v>0.04</v>
      </c>
    </row>
    <row r="26" spans="1:15">
      <c r="A26" s="439" t="s">
        <v>211</v>
      </c>
      <c r="B26" s="440" t="s">
        <v>325</v>
      </c>
      <c r="C26" s="435">
        <v>0.03</v>
      </c>
      <c r="D26" s="436">
        <v>0.04</v>
      </c>
    </row>
    <row r="27" spans="1:15">
      <c r="A27" s="439" t="s">
        <v>217</v>
      </c>
      <c r="B27" s="440" t="s">
        <v>326</v>
      </c>
      <c r="C27" s="435">
        <v>0.03</v>
      </c>
      <c r="D27" s="436"/>
    </row>
    <row r="28" spans="1:15">
      <c r="A28" s="439" t="s">
        <v>221</v>
      </c>
      <c r="B28" s="440" t="s">
        <v>327</v>
      </c>
      <c r="C28" s="435">
        <v>0.03</v>
      </c>
      <c r="D28" s="436">
        <v>0.04</v>
      </c>
    </row>
    <row r="29" spans="1:15">
      <c r="A29" s="439" t="s">
        <v>231</v>
      </c>
      <c r="B29" s="440" t="s">
        <v>328</v>
      </c>
      <c r="C29" s="435">
        <v>0.03</v>
      </c>
      <c r="D29" s="436">
        <v>0.04</v>
      </c>
    </row>
    <row r="30" spans="1:15" ht="11" thickBot="1">
      <c r="A30" s="441" t="s">
        <v>243</v>
      </c>
      <c r="B30" s="442" t="s">
        <v>329</v>
      </c>
      <c r="C30" s="437">
        <v>0.03</v>
      </c>
      <c r="D30" s="438">
        <v>0.04</v>
      </c>
    </row>
    <row r="31" spans="1:15" ht="11" thickBot="1"/>
    <row r="32" spans="1:15" ht="15" thickBot="1">
      <c r="A32" s="703" t="s">
        <v>332</v>
      </c>
      <c r="B32" s="704"/>
      <c r="C32" s="704"/>
      <c r="D32" s="704"/>
      <c r="E32" s="704"/>
      <c r="F32" s="704"/>
      <c r="G32" s="704"/>
      <c r="H32" s="704"/>
      <c r="I32" s="704"/>
      <c r="J32" s="704"/>
      <c r="K32" s="704"/>
      <c r="L32" s="704"/>
      <c r="M32" s="704"/>
      <c r="N32" s="705"/>
    </row>
    <row r="33" spans="1:15">
      <c r="A33" s="407" t="s">
        <v>165</v>
      </c>
      <c r="B33" s="377">
        <v>6000</v>
      </c>
      <c r="C33" s="514">
        <v>0</v>
      </c>
      <c r="D33" s="514">
        <v>0</v>
      </c>
      <c r="E33" s="514">
        <v>0</v>
      </c>
      <c r="F33" s="514">
        <v>0</v>
      </c>
      <c r="G33" s="514">
        <v>0</v>
      </c>
      <c r="H33" s="514">
        <v>0</v>
      </c>
      <c r="I33" s="514">
        <v>0</v>
      </c>
      <c r="J33" s="514">
        <v>9540.43</v>
      </c>
      <c r="K33" s="514">
        <v>14674.61</v>
      </c>
      <c r="L33" s="514">
        <v>14833.77</v>
      </c>
      <c r="M33" s="515">
        <v>10123.02</v>
      </c>
      <c r="N33" s="516">
        <v>7544.16</v>
      </c>
      <c r="O33" s="397"/>
    </row>
    <row r="34" spans="1:15">
      <c r="A34" s="408" t="s">
        <v>173</v>
      </c>
      <c r="B34" s="378">
        <v>7000</v>
      </c>
      <c r="C34" s="517">
        <v>0</v>
      </c>
      <c r="D34" s="517">
        <v>0</v>
      </c>
      <c r="E34" s="517">
        <v>0</v>
      </c>
      <c r="F34" s="517">
        <v>0</v>
      </c>
      <c r="G34" s="517">
        <v>0</v>
      </c>
      <c r="H34" s="517">
        <v>0</v>
      </c>
      <c r="I34" s="517">
        <v>0</v>
      </c>
      <c r="J34" s="517">
        <v>0</v>
      </c>
      <c r="K34" s="517">
        <v>0</v>
      </c>
      <c r="L34" s="517">
        <v>0</v>
      </c>
      <c r="M34" s="518">
        <v>0</v>
      </c>
      <c r="N34" s="519">
        <v>0</v>
      </c>
      <c r="O34" s="397"/>
    </row>
    <row r="35" spans="1:15">
      <c r="A35" s="408" t="s">
        <v>179</v>
      </c>
      <c r="B35" s="378">
        <v>10000</v>
      </c>
      <c r="C35" s="517">
        <v>0</v>
      </c>
      <c r="D35" s="517">
        <v>0</v>
      </c>
      <c r="E35" s="517">
        <v>0</v>
      </c>
      <c r="F35" s="517">
        <v>0</v>
      </c>
      <c r="G35" s="517">
        <v>0</v>
      </c>
      <c r="H35" s="517">
        <v>0</v>
      </c>
      <c r="I35" s="517">
        <v>0</v>
      </c>
      <c r="J35" s="517">
        <v>15990.69</v>
      </c>
      <c r="K35" s="517">
        <v>10472.07</v>
      </c>
      <c r="L35" s="517">
        <v>6104.62</v>
      </c>
      <c r="M35" s="518">
        <v>13342.69</v>
      </c>
      <c r="N35" s="519">
        <v>12787.01</v>
      </c>
      <c r="O35" s="397"/>
    </row>
    <row r="36" spans="1:15">
      <c r="A36" s="408" t="s">
        <v>192</v>
      </c>
      <c r="B36" s="378">
        <v>15000</v>
      </c>
      <c r="C36" s="517">
        <v>0</v>
      </c>
      <c r="D36" s="517">
        <v>0</v>
      </c>
      <c r="E36" s="517">
        <v>0</v>
      </c>
      <c r="F36" s="517">
        <v>0</v>
      </c>
      <c r="G36" s="517">
        <v>0</v>
      </c>
      <c r="H36" s="517">
        <v>0</v>
      </c>
      <c r="I36" s="517">
        <v>0</v>
      </c>
      <c r="J36" s="517">
        <v>0</v>
      </c>
      <c r="K36" s="517">
        <v>0</v>
      </c>
      <c r="L36" s="517">
        <v>0</v>
      </c>
      <c r="M36" s="518">
        <v>20.059999999999999</v>
      </c>
      <c r="N36" s="519">
        <v>0</v>
      </c>
      <c r="O36" s="397"/>
    </row>
    <row r="37" spans="1:15">
      <c r="A37" s="408" t="s">
        <v>195</v>
      </c>
      <c r="B37" s="378">
        <v>18000</v>
      </c>
      <c r="C37" s="517">
        <v>0</v>
      </c>
      <c r="D37" s="517">
        <v>0</v>
      </c>
      <c r="E37" s="517">
        <v>0</v>
      </c>
      <c r="F37" s="517">
        <v>0</v>
      </c>
      <c r="G37" s="517">
        <v>0</v>
      </c>
      <c r="H37" s="517">
        <v>0</v>
      </c>
      <c r="I37" s="517">
        <v>0</v>
      </c>
      <c r="J37" s="517">
        <v>431490.79</v>
      </c>
      <c r="K37" s="517">
        <v>578241.28000000003</v>
      </c>
      <c r="L37" s="517">
        <v>667197.28</v>
      </c>
      <c r="M37" s="518">
        <v>428188.6</v>
      </c>
      <c r="N37" s="519">
        <v>389219.88</v>
      </c>
      <c r="O37" s="397"/>
    </row>
    <row r="38" spans="1:15">
      <c r="A38" s="408" t="s">
        <v>211</v>
      </c>
      <c r="B38" s="378">
        <v>21000</v>
      </c>
      <c r="C38" s="517">
        <v>0</v>
      </c>
      <c r="D38" s="517">
        <v>0</v>
      </c>
      <c r="E38" s="517">
        <v>0</v>
      </c>
      <c r="F38" s="517">
        <v>0</v>
      </c>
      <c r="G38" s="517">
        <v>0</v>
      </c>
      <c r="H38" s="517">
        <v>0</v>
      </c>
      <c r="I38" s="517">
        <v>0</v>
      </c>
      <c r="J38" s="517">
        <v>159.41</v>
      </c>
      <c r="K38" s="517">
        <v>23.28</v>
      </c>
      <c r="L38" s="517">
        <v>54.3</v>
      </c>
      <c r="M38" s="518">
        <v>328.04</v>
      </c>
      <c r="N38" s="519">
        <v>0</v>
      </c>
      <c r="O38" s="397"/>
    </row>
    <row r="39" spans="1:15">
      <c r="A39" s="408" t="s">
        <v>217</v>
      </c>
      <c r="B39" s="378">
        <v>24000</v>
      </c>
      <c r="C39" s="517">
        <v>0</v>
      </c>
      <c r="D39" s="517">
        <v>0</v>
      </c>
      <c r="E39" s="517">
        <v>0</v>
      </c>
      <c r="F39" s="517">
        <v>0</v>
      </c>
      <c r="G39" s="517">
        <v>0</v>
      </c>
      <c r="H39" s="517">
        <v>0</v>
      </c>
      <c r="I39" s="517">
        <v>0</v>
      </c>
      <c r="J39" s="517">
        <v>1542</v>
      </c>
      <c r="K39" s="517">
        <v>1173.67</v>
      </c>
      <c r="L39" s="517">
        <v>995.52</v>
      </c>
      <c r="M39" s="518">
        <v>983.71</v>
      </c>
      <c r="N39" s="519">
        <v>1122.8</v>
      </c>
      <c r="O39" s="397"/>
    </row>
    <row r="40" spans="1:15">
      <c r="A40" s="408" t="s">
        <v>221</v>
      </c>
      <c r="B40" s="378">
        <v>25000</v>
      </c>
      <c r="C40" s="517">
        <v>0</v>
      </c>
      <c r="D40" s="517">
        <v>0</v>
      </c>
      <c r="E40" s="517">
        <v>0</v>
      </c>
      <c r="F40" s="517">
        <v>0</v>
      </c>
      <c r="G40" s="517">
        <v>0</v>
      </c>
      <c r="H40" s="517">
        <v>0</v>
      </c>
      <c r="I40" s="517">
        <v>0</v>
      </c>
      <c r="J40" s="517">
        <v>16177.14</v>
      </c>
      <c r="K40" s="517">
        <v>20443.330000000002</v>
      </c>
      <c r="L40" s="517">
        <v>21382.99</v>
      </c>
      <c r="M40" s="518">
        <v>15904.05</v>
      </c>
      <c r="N40" s="519">
        <v>14680.25</v>
      </c>
      <c r="O40" s="397"/>
    </row>
    <row r="41" spans="1:15">
      <c r="A41" s="408" t="s">
        <v>231</v>
      </c>
      <c r="B41" s="378">
        <v>27000</v>
      </c>
      <c r="C41" s="517">
        <v>0</v>
      </c>
      <c r="D41" s="517">
        <v>0</v>
      </c>
      <c r="E41" s="517">
        <v>0</v>
      </c>
      <c r="F41" s="517">
        <v>0</v>
      </c>
      <c r="G41" s="517">
        <v>0</v>
      </c>
      <c r="H41" s="517">
        <v>0</v>
      </c>
      <c r="I41" s="517">
        <v>0</v>
      </c>
      <c r="J41" s="517">
        <v>14467.03</v>
      </c>
      <c r="K41" s="517">
        <v>13970.93</v>
      </c>
      <c r="L41" s="517">
        <v>12162.43</v>
      </c>
      <c r="M41" s="518">
        <v>13082.77</v>
      </c>
      <c r="N41" s="519">
        <v>14342.55</v>
      </c>
      <c r="O41" s="397"/>
    </row>
    <row r="42" spans="1:15" ht="11" thickBot="1">
      <c r="A42" s="409" t="s">
        <v>243</v>
      </c>
      <c r="B42" s="379">
        <v>29000</v>
      </c>
      <c r="C42" s="520">
        <v>0</v>
      </c>
      <c r="D42" s="520">
        <v>0</v>
      </c>
      <c r="E42" s="520">
        <v>0</v>
      </c>
      <c r="F42" s="520">
        <v>0</v>
      </c>
      <c r="G42" s="520">
        <v>0</v>
      </c>
      <c r="H42" s="520">
        <v>0</v>
      </c>
      <c r="I42" s="521">
        <v>0</v>
      </c>
      <c r="J42" s="520">
        <v>8231.0300000000007</v>
      </c>
      <c r="K42" s="520">
        <v>8231.7199999999993</v>
      </c>
      <c r="L42" s="517">
        <v>7644.9</v>
      </c>
      <c r="M42" s="518">
        <v>8589.67</v>
      </c>
      <c r="N42" s="519">
        <v>6201.88</v>
      </c>
    </row>
    <row r="43" spans="1:15" ht="13.5" customHeight="1" thickBot="1">
      <c r="A43" s="696" t="s">
        <v>0</v>
      </c>
      <c r="B43" s="697"/>
      <c r="C43" s="520">
        <f t="shared" ref="C43:I43" si="16">SUM(C33:C42)</f>
        <v>0</v>
      </c>
      <c r="D43" s="520">
        <f t="shared" si="16"/>
        <v>0</v>
      </c>
      <c r="E43" s="520">
        <f t="shared" si="16"/>
        <v>0</v>
      </c>
      <c r="F43" s="520">
        <f t="shared" si="16"/>
        <v>0</v>
      </c>
      <c r="G43" s="520">
        <f t="shared" si="16"/>
        <v>0</v>
      </c>
      <c r="H43" s="520">
        <f t="shared" si="16"/>
        <v>0</v>
      </c>
      <c r="I43" s="520">
        <f t="shared" si="16"/>
        <v>0</v>
      </c>
      <c r="J43" s="520">
        <f>SUM(J33:J42)</f>
        <v>497598.52</v>
      </c>
      <c r="K43" s="520">
        <f t="shared" ref="K43:N43" si="17">SUM(K33:K42)</f>
        <v>647230.89000000013</v>
      </c>
      <c r="L43" s="522">
        <f t="shared" si="17"/>
        <v>730375.81000000017</v>
      </c>
      <c r="M43" s="522">
        <f t="shared" si="17"/>
        <v>490562.61</v>
      </c>
      <c r="N43" s="522">
        <f t="shared" si="17"/>
        <v>445898.52999999997</v>
      </c>
    </row>
    <row r="44" spans="1:15" ht="15" thickBot="1">
      <c r="A44" s="706" t="s">
        <v>333</v>
      </c>
      <c r="B44" s="707"/>
      <c r="C44" s="707"/>
      <c r="D44" s="707"/>
      <c r="E44" s="707"/>
      <c r="F44" s="707"/>
      <c r="G44" s="707"/>
      <c r="H44" s="707"/>
      <c r="I44" s="707"/>
      <c r="J44" s="707"/>
      <c r="K44" s="707"/>
      <c r="L44" s="707"/>
      <c r="M44" s="707"/>
      <c r="N44" s="708"/>
    </row>
    <row r="45" spans="1:15">
      <c r="A45" s="410" t="s">
        <v>165</v>
      </c>
      <c r="B45" s="380">
        <v>6000</v>
      </c>
      <c r="C45" s="506">
        <v>0</v>
      </c>
      <c r="D45" s="506">
        <v>0</v>
      </c>
      <c r="E45" s="506">
        <v>0</v>
      </c>
      <c r="F45" s="506">
        <v>0</v>
      </c>
      <c r="G45" s="506">
        <v>0</v>
      </c>
      <c r="H45" s="506">
        <v>0</v>
      </c>
      <c r="I45" s="506">
        <v>0</v>
      </c>
      <c r="J45" s="506">
        <v>34990.11</v>
      </c>
      <c r="K45" s="506">
        <v>48232.6</v>
      </c>
      <c r="L45" s="506">
        <v>53146.05</v>
      </c>
      <c r="M45" s="507">
        <v>35325.769999999997</v>
      </c>
      <c r="N45" s="508">
        <v>30514.52</v>
      </c>
    </row>
    <row r="46" spans="1:15">
      <c r="A46" s="411" t="s">
        <v>173</v>
      </c>
      <c r="B46" s="381">
        <v>7000</v>
      </c>
      <c r="C46" s="509">
        <v>0</v>
      </c>
      <c r="D46" s="509">
        <v>0</v>
      </c>
      <c r="E46" s="509">
        <v>0</v>
      </c>
      <c r="F46" s="509">
        <v>0</v>
      </c>
      <c r="G46" s="509">
        <v>0</v>
      </c>
      <c r="H46" s="509">
        <v>0</v>
      </c>
      <c r="I46" s="509">
        <v>0</v>
      </c>
      <c r="J46" s="509">
        <v>0</v>
      </c>
      <c r="K46" s="509">
        <v>0</v>
      </c>
      <c r="L46" s="509">
        <v>0</v>
      </c>
      <c r="M46" s="510">
        <v>0</v>
      </c>
      <c r="N46" s="511">
        <v>0</v>
      </c>
    </row>
    <row r="47" spans="1:15">
      <c r="A47" s="411" t="s">
        <v>179</v>
      </c>
      <c r="B47" s="381">
        <v>10000</v>
      </c>
      <c r="C47" s="509">
        <v>0</v>
      </c>
      <c r="D47" s="509">
        <v>0</v>
      </c>
      <c r="E47" s="509">
        <v>0</v>
      </c>
      <c r="F47" s="509">
        <v>0</v>
      </c>
      <c r="G47" s="509">
        <v>0</v>
      </c>
      <c r="H47" s="509">
        <v>0</v>
      </c>
      <c r="I47" s="509">
        <v>0</v>
      </c>
      <c r="J47" s="509">
        <v>0</v>
      </c>
      <c r="K47" s="509">
        <v>0</v>
      </c>
      <c r="L47" s="509">
        <v>0</v>
      </c>
      <c r="M47" s="510">
        <v>0</v>
      </c>
      <c r="N47" s="511">
        <v>0</v>
      </c>
    </row>
    <row r="48" spans="1:15">
      <c r="A48" s="411" t="s">
        <v>192</v>
      </c>
      <c r="B48" s="381">
        <v>15000</v>
      </c>
      <c r="C48" s="509">
        <v>0</v>
      </c>
      <c r="D48" s="509">
        <v>0</v>
      </c>
      <c r="E48" s="509">
        <v>0</v>
      </c>
      <c r="F48" s="509">
        <v>0</v>
      </c>
      <c r="G48" s="509">
        <v>0</v>
      </c>
      <c r="H48" s="509">
        <v>0</v>
      </c>
      <c r="I48" s="509">
        <v>0</v>
      </c>
      <c r="J48" s="509">
        <v>823.89</v>
      </c>
      <c r="K48" s="509">
        <v>1090.79</v>
      </c>
      <c r="L48" s="509">
        <v>1241.28</v>
      </c>
      <c r="M48" s="510">
        <v>836.04</v>
      </c>
      <c r="N48" s="511">
        <v>741.38</v>
      </c>
    </row>
    <row r="49" spans="1:14">
      <c r="A49" s="411" t="s">
        <v>195</v>
      </c>
      <c r="B49" s="381">
        <v>18000</v>
      </c>
      <c r="C49" s="509">
        <v>0</v>
      </c>
      <c r="D49" s="509">
        <v>0</v>
      </c>
      <c r="E49" s="509">
        <v>0</v>
      </c>
      <c r="F49" s="509">
        <v>0</v>
      </c>
      <c r="G49" s="509">
        <v>0</v>
      </c>
      <c r="H49" s="509">
        <v>0</v>
      </c>
      <c r="I49" s="509">
        <v>0</v>
      </c>
      <c r="J49" s="509">
        <v>490169.04</v>
      </c>
      <c r="K49" s="509">
        <v>655464.15</v>
      </c>
      <c r="L49" s="509">
        <v>754462.63</v>
      </c>
      <c r="M49" s="510">
        <v>486389.44</v>
      </c>
      <c r="N49" s="511">
        <v>441958.92</v>
      </c>
    </row>
    <row r="50" spans="1:14">
      <c r="A50" s="411" t="s">
        <v>211</v>
      </c>
      <c r="B50" s="381">
        <v>21000</v>
      </c>
      <c r="C50" s="509">
        <v>0</v>
      </c>
      <c r="D50" s="509">
        <v>0</v>
      </c>
      <c r="E50" s="509">
        <v>0</v>
      </c>
      <c r="F50" s="509">
        <v>0</v>
      </c>
      <c r="G50" s="509">
        <v>0</v>
      </c>
      <c r="H50" s="509">
        <v>0</v>
      </c>
      <c r="I50" s="509">
        <v>0</v>
      </c>
      <c r="J50" s="509">
        <v>1837.55</v>
      </c>
      <c r="K50" s="509">
        <v>2257.5700000000002</v>
      </c>
      <c r="L50" s="509">
        <v>2595</v>
      </c>
      <c r="M50" s="510">
        <v>1981.46</v>
      </c>
      <c r="N50" s="511">
        <v>1519.63</v>
      </c>
    </row>
    <row r="51" spans="1:14">
      <c r="A51" s="411" t="s">
        <v>217</v>
      </c>
      <c r="B51" s="381">
        <v>24000</v>
      </c>
      <c r="C51" s="509">
        <v>0</v>
      </c>
      <c r="D51" s="509">
        <v>0</v>
      </c>
      <c r="E51" s="509">
        <v>0</v>
      </c>
      <c r="F51" s="509">
        <v>0</v>
      </c>
      <c r="G51" s="509">
        <v>0</v>
      </c>
      <c r="H51" s="509">
        <v>0</v>
      </c>
      <c r="I51" s="509">
        <v>0</v>
      </c>
      <c r="J51" s="509">
        <v>0</v>
      </c>
      <c r="K51" s="509">
        <v>0</v>
      </c>
      <c r="L51" s="509">
        <v>0</v>
      </c>
      <c r="M51" s="510">
        <v>0</v>
      </c>
      <c r="N51" s="511">
        <v>0</v>
      </c>
    </row>
    <row r="52" spans="1:14">
      <c r="A52" s="411" t="s">
        <v>221</v>
      </c>
      <c r="B52" s="381">
        <v>25000</v>
      </c>
      <c r="C52" s="509">
        <v>0</v>
      </c>
      <c r="D52" s="509">
        <v>0</v>
      </c>
      <c r="E52" s="509">
        <v>0</v>
      </c>
      <c r="F52" s="509">
        <v>0</v>
      </c>
      <c r="G52" s="509">
        <v>0</v>
      </c>
      <c r="H52" s="509">
        <v>0</v>
      </c>
      <c r="I52" s="509">
        <v>0</v>
      </c>
      <c r="J52" s="509">
        <v>59795.15</v>
      </c>
      <c r="K52" s="509">
        <v>78256.53</v>
      </c>
      <c r="L52" s="509">
        <v>87297.99</v>
      </c>
      <c r="M52" s="510">
        <v>59183.72</v>
      </c>
      <c r="N52" s="511">
        <v>53921.82</v>
      </c>
    </row>
    <row r="53" spans="1:14">
      <c r="A53" s="411" t="s">
        <v>231</v>
      </c>
      <c r="B53" s="381">
        <v>27000</v>
      </c>
      <c r="C53" s="509">
        <v>0</v>
      </c>
      <c r="D53" s="509">
        <v>0</v>
      </c>
      <c r="E53" s="509">
        <v>0</v>
      </c>
      <c r="F53" s="509">
        <v>0</v>
      </c>
      <c r="G53" s="509">
        <v>0</v>
      </c>
      <c r="H53" s="509">
        <v>0</v>
      </c>
      <c r="I53" s="509">
        <v>0</v>
      </c>
      <c r="J53" s="509">
        <v>25472.58</v>
      </c>
      <c r="K53" s="509">
        <v>28887.279999999999</v>
      </c>
      <c r="L53" s="509">
        <v>29385.83</v>
      </c>
      <c r="M53" s="510">
        <v>24085.1</v>
      </c>
      <c r="N53" s="511">
        <v>24157.65</v>
      </c>
    </row>
    <row r="54" spans="1:14" ht="11" thickBot="1">
      <c r="A54" s="412" t="s">
        <v>243</v>
      </c>
      <c r="B54" s="382">
        <v>29000</v>
      </c>
      <c r="C54" s="512">
        <v>0</v>
      </c>
      <c r="D54" s="512">
        <v>0</v>
      </c>
      <c r="E54" s="512">
        <v>0</v>
      </c>
      <c r="F54" s="512">
        <v>0</v>
      </c>
      <c r="G54" s="512">
        <v>0</v>
      </c>
      <c r="H54" s="512">
        <v>0</v>
      </c>
      <c r="I54" s="513">
        <v>0</v>
      </c>
      <c r="J54" s="512">
        <v>26999.43</v>
      </c>
      <c r="K54" s="512">
        <v>33257.96</v>
      </c>
      <c r="L54" s="512">
        <v>36238.81</v>
      </c>
      <c r="M54" s="510">
        <v>27180.06</v>
      </c>
      <c r="N54" s="511">
        <v>23171.01</v>
      </c>
    </row>
    <row r="55" spans="1:14" ht="13.5" customHeight="1" thickBot="1">
      <c r="A55" s="701" t="s">
        <v>0</v>
      </c>
      <c r="B55" s="702"/>
      <c r="C55" s="512">
        <f t="shared" ref="C55:I55" si="18">SUM(C45:C54)</f>
        <v>0</v>
      </c>
      <c r="D55" s="512">
        <f t="shared" si="18"/>
        <v>0</v>
      </c>
      <c r="E55" s="512">
        <f t="shared" si="18"/>
        <v>0</v>
      </c>
      <c r="F55" s="512">
        <f t="shared" si="18"/>
        <v>0</v>
      </c>
      <c r="G55" s="512">
        <f t="shared" si="18"/>
        <v>0</v>
      </c>
      <c r="H55" s="512">
        <f t="shared" si="18"/>
        <v>0</v>
      </c>
      <c r="I55" s="512">
        <f t="shared" si="18"/>
        <v>0</v>
      </c>
      <c r="J55" s="512">
        <f>SUM(J45:J54)</f>
        <v>640087.75000000012</v>
      </c>
      <c r="K55" s="512">
        <f t="shared" ref="K55:N55" si="19">SUM(K45:K54)</f>
        <v>847446.88</v>
      </c>
      <c r="L55" s="512">
        <f t="shared" si="19"/>
        <v>964367.58999999985</v>
      </c>
      <c r="M55" s="512">
        <f t="shared" si="19"/>
        <v>634981.59</v>
      </c>
      <c r="N55" s="512">
        <f t="shared" si="19"/>
        <v>575984.93000000005</v>
      </c>
    </row>
  </sheetData>
  <mergeCells count="5">
    <mergeCell ref="A55:B55"/>
    <mergeCell ref="A1:Q1"/>
    <mergeCell ref="A32:N32"/>
    <mergeCell ref="A44:N44"/>
    <mergeCell ref="A43:B43"/>
  </mergeCells>
  <pageMargins left="0.7" right="0.7" top="0.75" bottom="0.75" header="0.3" footer="0.3"/>
  <pageSetup scale="79" orientation="landscape"/>
  <ignoredErrors>
    <ignoredError sqref="C14 M14:N14 P3:P13" formulaRange="1"/>
    <ignoredError sqref="Q5" evalError="1"/>
    <ignoredError sqref="O14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tabColor rgb="FFFF0000"/>
  </sheetPr>
  <dimension ref="A1:O30"/>
  <sheetViews>
    <sheetView workbookViewId="0">
      <selection activeCell="C4" sqref="C4:J4"/>
    </sheetView>
  </sheetViews>
  <sheetFormatPr baseColWidth="10" defaultColWidth="9.1640625" defaultRowHeight="14" x14ac:dyDescent="0"/>
  <cols>
    <col min="1" max="1" width="43.1640625" style="345" customWidth="1"/>
    <col min="2" max="2" width="12.5" style="345" bestFit="1" customWidth="1"/>
    <col min="3" max="4" width="9.83203125" style="345" bestFit="1" customWidth="1"/>
    <col min="5" max="7" width="11.33203125" style="345" bestFit="1" customWidth="1"/>
    <col min="8" max="9" width="9.83203125" style="345" bestFit="1" customWidth="1"/>
    <col min="10" max="13" width="11.33203125" style="345" bestFit="1" customWidth="1"/>
    <col min="14" max="14" width="9.83203125" style="345" bestFit="1" customWidth="1"/>
    <col min="15" max="15" width="12.33203125" style="345" bestFit="1" customWidth="1"/>
    <col min="16" max="16384" width="9.1640625" style="345"/>
  </cols>
  <sheetData>
    <row r="1" spans="1:15" ht="45">
      <c r="A1" s="343" t="s">
        <v>309</v>
      </c>
      <c r="B1" s="344"/>
    </row>
    <row r="2" spans="1:15">
      <c r="B2" s="346"/>
    </row>
    <row r="3" spans="1:15">
      <c r="A3" s="354" t="s">
        <v>310</v>
      </c>
      <c r="B3" s="355" t="s">
        <v>311</v>
      </c>
      <c r="C3" s="356">
        <v>41275</v>
      </c>
      <c r="D3" s="356">
        <v>41306</v>
      </c>
      <c r="E3" s="356">
        <v>41334</v>
      </c>
      <c r="F3" s="356">
        <v>41365</v>
      </c>
      <c r="G3" s="356">
        <v>41395</v>
      </c>
      <c r="H3" s="356">
        <v>41426</v>
      </c>
      <c r="I3" s="356">
        <v>41456</v>
      </c>
      <c r="J3" s="356">
        <v>41487</v>
      </c>
      <c r="K3" s="356">
        <v>41518</v>
      </c>
      <c r="L3" s="356">
        <v>41548</v>
      </c>
      <c r="M3" s="356">
        <v>41579</v>
      </c>
      <c r="N3" s="356">
        <v>41609</v>
      </c>
      <c r="O3" s="348" t="s">
        <v>54</v>
      </c>
    </row>
    <row r="4" spans="1:15">
      <c r="A4" s="345" t="s">
        <v>165</v>
      </c>
      <c r="B4" s="346">
        <v>6000</v>
      </c>
      <c r="C4" s="352">
        <v>26625.010000000002</v>
      </c>
      <c r="D4" s="352">
        <v>26987.879999999997</v>
      </c>
      <c r="E4" s="352">
        <v>36999.340000000004</v>
      </c>
      <c r="F4" s="352">
        <v>35550.6</v>
      </c>
      <c r="G4" s="352">
        <v>39724.159999999996</v>
      </c>
      <c r="H4" s="352">
        <v>36178.15</v>
      </c>
      <c r="I4" s="352">
        <v>35075.199999999997</v>
      </c>
      <c r="J4" s="352">
        <v>42299.82</v>
      </c>
      <c r="K4" s="352">
        <v>45255.32</v>
      </c>
      <c r="L4" s="352">
        <v>59404.06</v>
      </c>
      <c r="M4" s="352">
        <v>43637.21</v>
      </c>
      <c r="N4" s="352">
        <v>32658.31</v>
      </c>
      <c r="O4" s="352">
        <f t="shared" ref="O4:O14" si="0">SUM(C4:N4)</f>
        <v>460395.06000000006</v>
      </c>
    </row>
    <row r="5" spans="1:15">
      <c r="A5" s="345" t="s">
        <v>173</v>
      </c>
      <c r="B5" s="346">
        <v>7000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>
        <v>55.09</v>
      </c>
      <c r="N5" s="352"/>
      <c r="O5" s="352">
        <f t="shared" si="0"/>
        <v>55.09</v>
      </c>
    </row>
    <row r="6" spans="1:15">
      <c r="A6" s="345" t="s">
        <v>179</v>
      </c>
      <c r="B6" s="346">
        <v>10000</v>
      </c>
      <c r="C6" s="352">
        <v>1722.46</v>
      </c>
      <c r="D6" s="352">
        <v>2289.33</v>
      </c>
      <c r="E6" s="352">
        <v>1014.88</v>
      </c>
      <c r="F6" s="352">
        <v>695.24</v>
      </c>
      <c r="G6" s="352">
        <v>5430.29</v>
      </c>
      <c r="H6" s="352">
        <v>5590.34</v>
      </c>
      <c r="I6" s="352">
        <v>4089.19</v>
      </c>
      <c r="J6" s="352">
        <v>16056.720000000001</v>
      </c>
      <c r="K6" s="352">
        <v>3434.61</v>
      </c>
      <c r="L6" s="352">
        <v>3263.36</v>
      </c>
      <c r="M6" s="352">
        <v>3781.9900000000002</v>
      </c>
      <c r="N6" s="352"/>
      <c r="O6" s="352">
        <f t="shared" si="0"/>
        <v>47368.409999999996</v>
      </c>
    </row>
    <row r="7" spans="1:15">
      <c r="A7" s="345" t="s">
        <v>192</v>
      </c>
      <c r="B7" s="346">
        <v>15000</v>
      </c>
      <c r="C7" s="352">
        <v>525.49</v>
      </c>
      <c r="D7" s="352">
        <v>576.78</v>
      </c>
      <c r="E7" s="352">
        <v>888.23</v>
      </c>
      <c r="F7" s="352">
        <v>812.83</v>
      </c>
      <c r="G7" s="352">
        <v>889.82</v>
      </c>
      <c r="H7" s="352">
        <v>651.25</v>
      </c>
      <c r="I7" s="352">
        <v>588</v>
      </c>
      <c r="J7" s="352">
        <v>752.16</v>
      </c>
      <c r="K7" s="352">
        <v>884.25</v>
      </c>
      <c r="L7" s="352">
        <v>1033.23</v>
      </c>
      <c r="M7" s="352">
        <v>741.34</v>
      </c>
      <c r="N7" s="352">
        <v>641.03</v>
      </c>
      <c r="O7" s="352">
        <f t="shared" si="0"/>
        <v>8984.41</v>
      </c>
    </row>
    <row r="8" spans="1:15">
      <c r="A8" s="345" t="s">
        <v>195</v>
      </c>
      <c r="B8" s="346">
        <v>18000</v>
      </c>
      <c r="C8" s="352">
        <v>604728.63000000012</v>
      </c>
      <c r="D8" s="352">
        <v>675230.61</v>
      </c>
      <c r="E8" s="352">
        <v>1064350.8</v>
      </c>
      <c r="F8" s="352">
        <v>966672.92999999993</v>
      </c>
      <c r="G8" s="352">
        <v>1049565.1599999999</v>
      </c>
      <c r="H8" s="352">
        <v>700293.95</v>
      </c>
      <c r="I8" s="352">
        <v>664382.01</v>
      </c>
      <c r="J8" s="352">
        <v>861237.67999999993</v>
      </c>
      <c r="K8" s="352">
        <v>1010966.2</v>
      </c>
      <c r="L8" s="352">
        <v>1199146.0100000002</v>
      </c>
      <c r="M8" s="352">
        <v>851150.47</v>
      </c>
      <c r="N8" s="352">
        <v>733745.12</v>
      </c>
      <c r="O8" s="352">
        <f t="shared" si="0"/>
        <v>10381469.57</v>
      </c>
    </row>
    <row r="9" spans="1:15">
      <c r="A9" s="345" t="s">
        <v>211</v>
      </c>
      <c r="B9" s="346">
        <v>21000</v>
      </c>
      <c r="C9" s="352">
        <v>1219.53</v>
      </c>
      <c r="D9" s="352">
        <v>1367.8899999999999</v>
      </c>
      <c r="E9" s="352">
        <v>2006.01</v>
      </c>
      <c r="F9" s="352">
        <v>1878.3500000000001</v>
      </c>
      <c r="G9" s="352">
        <v>1970.28</v>
      </c>
      <c r="H9" s="352">
        <v>1373.83</v>
      </c>
      <c r="I9" s="352">
        <v>1369.8200000000002</v>
      </c>
      <c r="J9" s="352">
        <v>1616.46</v>
      </c>
      <c r="K9" s="352">
        <v>1987.85</v>
      </c>
      <c r="L9" s="352">
        <v>2297.91</v>
      </c>
      <c r="M9" s="352">
        <v>1686.21</v>
      </c>
      <c r="N9" s="352">
        <v>1372.99</v>
      </c>
      <c r="O9" s="352">
        <f t="shared" si="0"/>
        <v>20147.13</v>
      </c>
    </row>
    <row r="10" spans="1:15">
      <c r="A10" s="345" t="s">
        <v>217</v>
      </c>
      <c r="B10" s="346">
        <v>24000</v>
      </c>
      <c r="C10" s="352">
        <v>1548.72</v>
      </c>
      <c r="D10" s="352">
        <v>1052.6600000000001</v>
      </c>
      <c r="E10" s="352">
        <v>1633.6000000000001</v>
      </c>
      <c r="F10" s="352">
        <v>1883.05</v>
      </c>
      <c r="G10" s="352">
        <v>1398.14</v>
      </c>
      <c r="H10" s="352">
        <v>1205.1400000000001</v>
      </c>
      <c r="I10" s="352">
        <v>1500.28</v>
      </c>
      <c r="J10" s="352">
        <v>1381.3700000000001</v>
      </c>
      <c r="K10" s="352">
        <v>2052.5100000000002</v>
      </c>
      <c r="L10" s="352">
        <v>1412.23</v>
      </c>
      <c r="M10" s="352">
        <v>1417.1000000000001</v>
      </c>
      <c r="N10" s="352">
        <v>1375.54</v>
      </c>
      <c r="O10" s="352">
        <f t="shared" si="0"/>
        <v>17860.340000000004</v>
      </c>
    </row>
    <row r="11" spans="1:15">
      <c r="A11" s="345" t="s">
        <v>221</v>
      </c>
      <c r="B11" s="346">
        <v>25000</v>
      </c>
      <c r="C11" s="352">
        <v>49380.71</v>
      </c>
      <c r="D11" s="352">
        <v>49798.720000000001</v>
      </c>
      <c r="E11" s="352">
        <v>69455.7</v>
      </c>
      <c r="F11" s="352">
        <v>64976.46</v>
      </c>
      <c r="G11" s="352">
        <v>73330.47</v>
      </c>
      <c r="H11" s="352">
        <v>60731.05</v>
      </c>
      <c r="I11" s="352">
        <v>56392.7</v>
      </c>
      <c r="J11" s="352">
        <v>70475.78</v>
      </c>
      <c r="K11" s="352">
        <v>90043.16</v>
      </c>
      <c r="L11" s="352">
        <v>92283.57</v>
      </c>
      <c r="M11" s="352">
        <v>67909.64</v>
      </c>
      <c r="N11" s="352">
        <v>60711.280000000006</v>
      </c>
      <c r="O11" s="352">
        <f t="shared" si="0"/>
        <v>805489.24000000011</v>
      </c>
    </row>
    <row r="12" spans="1:15">
      <c r="A12" s="345" t="s">
        <v>231</v>
      </c>
      <c r="B12" s="346">
        <v>27000</v>
      </c>
      <c r="C12" s="352">
        <v>24185.510000000002</v>
      </c>
      <c r="D12" s="352">
        <v>22347.07</v>
      </c>
      <c r="E12" s="352">
        <v>27696.36</v>
      </c>
      <c r="F12" s="352">
        <v>27469.93</v>
      </c>
      <c r="G12" s="352">
        <v>33985.24</v>
      </c>
      <c r="H12" s="352">
        <v>29021.600000000002</v>
      </c>
      <c r="I12" s="352">
        <v>31438.530000000002</v>
      </c>
      <c r="J12" s="352">
        <v>34942.130000000005</v>
      </c>
      <c r="K12" s="352">
        <v>37552.380000000005</v>
      </c>
      <c r="L12" s="352">
        <v>37964.44</v>
      </c>
      <c r="M12" s="352">
        <v>32684.43</v>
      </c>
      <c r="N12" s="352">
        <v>35289.949999999997</v>
      </c>
      <c r="O12" s="352">
        <f t="shared" si="0"/>
        <v>374577.57</v>
      </c>
    </row>
    <row r="13" spans="1:15">
      <c r="A13" s="345" t="s">
        <v>243</v>
      </c>
      <c r="B13" s="346">
        <v>29000</v>
      </c>
      <c r="C13" s="352">
        <v>20681.230000000003</v>
      </c>
      <c r="D13" s="352">
        <v>22015.72</v>
      </c>
      <c r="E13" s="352">
        <v>28021.93</v>
      </c>
      <c r="F13" s="352">
        <v>27703.53</v>
      </c>
      <c r="G13" s="352">
        <v>32159.64</v>
      </c>
      <c r="H13" s="352">
        <v>24057.439999999999</v>
      </c>
      <c r="I13" s="352">
        <v>25277.870000000003</v>
      </c>
      <c r="J13" s="352">
        <v>30617.22</v>
      </c>
      <c r="K13" s="352">
        <v>38218.839999999997</v>
      </c>
      <c r="L13" s="352">
        <v>39148.44</v>
      </c>
      <c r="M13" s="352">
        <v>29132.66</v>
      </c>
      <c r="N13" s="352">
        <v>23573.88</v>
      </c>
      <c r="O13" s="352">
        <f t="shared" si="0"/>
        <v>340608.39999999997</v>
      </c>
    </row>
    <row r="14" spans="1:15" ht="15" thickBot="1">
      <c r="A14" s="345" t="s">
        <v>312</v>
      </c>
      <c r="B14" s="357" t="s">
        <v>313</v>
      </c>
      <c r="C14" s="358">
        <v>730617.29</v>
      </c>
      <c r="D14" s="358">
        <v>801666.65999999992</v>
      </c>
      <c r="E14" s="358">
        <v>1232066.8500000001</v>
      </c>
      <c r="F14" s="358">
        <v>1127642.92</v>
      </c>
      <c r="G14" s="358">
        <v>1238453.1999999997</v>
      </c>
      <c r="H14" s="358">
        <v>859102.74999999988</v>
      </c>
      <c r="I14" s="358">
        <v>820113.6</v>
      </c>
      <c r="J14" s="358">
        <v>1059379.3399999999</v>
      </c>
      <c r="K14" s="358">
        <v>1230395.1199999999</v>
      </c>
      <c r="L14" s="358">
        <f>SUM(L4:L13)</f>
        <v>1435953.25</v>
      </c>
      <c r="M14" s="358">
        <f>SUM(M4:M13)</f>
        <v>1032196.14</v>
      </c>
      <c r="N14" s="358">
        <f>SUM(N4:N13)</f>
        <v>889368.1</v>
      </c>
      <c r="O14" s="352">
        <f t="shared" si="0"/>
        <v>12456955.219999999</v>
      </c>
    </row>
    <row r="15" spans="1:15" ht="15" thickTop="1">
      <c r="A15" s="345" t="s">
        <v>312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</row>
    <row r="16" spans="1:15">
      <c r="A16" s="345" t="s">
        <v>312</v>
      </c>
      <c r="B16" s="345" t="s">
        <v>314</v>
      </c>
      <c r="C16" s="352">
        <f t="shared" ref="C16:N16" si="1">C14</f>
        <v>730617.29</v>
      </c>
      <c r="D16" s="352">
        <f t="shared" si="1"/>
        <v>801666.65999999992</v>
      </c>
      <c r="E16" s="352">
        <f t="shared" si="1"/>
        <v>1232066.8500000001</v>
      </c>
      <c r="F16" s="352">
        <f t="shared" si="1"/>
        <v>1127642.92</v>
      </c>
      <c r="G16" s="352">
        <f t="shared" si="1"/>
        <v>1238453.1999999997</v>
      </c>
      <c r="H16" s="352">
        <f t="shared" si="1"/>
        <v>859102.74999999988</v>
      </c>
      <c r="I16" s="352">
        <f t="shared" si="1"/>
        <v>820113.6</v>
      </c>
      <c r="J16" s="352">
        <f t="shared" si="1"/>
        <v>1059379.3399999999</v>
      </c>
      <c r="K16" s="352">
        <f t="shared" si="1"/>
        <v>1230395.1199999999</v>
      </c>
      <c r="L16" s="352">
        <f t="shared" si="1"/>
        <v>1435953.25</v>
      </c>
      <c r="M16" s="352">
        <f t="shared" si="1"/>
        <v>1032196.14</v>
      </c>
      <c r="N16" s="352">
        <f t="shared" si="1"/>
        <v>889368.1</v>
      </c>
    </row>
    <row r="17" spans="1:14">
      <c r="A17" s="345" t="s">
        <v>312</v>
      </c>
      <c r="B17" s="345" t="s">
        <v>315</v>
      </c>
      <c r="C17" s="352">
        <f>'CR 2012'!C16</f>
        <v>649465.49999999988</v>
      </c>
      <c r="D17" s="352">
        <f>'CR 2012'!D16</f>
        <v>882373.81</v>
      </c>
      <c r="E17" s="352">
        <f>'CR 2012'!E16</f>
        <v>1152265.1599999999</v>
      </c>
      <c r="F17" s="352">
        <f>'CR 2012'!F16</f>
        <v>1144488.2200000002</v>
      </c>
      <c r="G17" s="352">
        <f>'CR 2012'!G16</f>
        <v>1390237.6600000001</v>
      </c>
      <c r="H17" s="352">
        <f>'CR 2012'!H16</f>
        <v>847967.34</v>
      </c>
      <c r="I17" s="352">
        <f>'CR 2012'!I16</f>
        <v>821854.39999999991</v>
      </c>
      <c r="J17" s="352">
        <f>'CR 2012'!J16</f>
        <v>1033627.14</v>
      </c>
      <c r="K17" s="352">
        <f>'CR 2012'!K16</f>
        <v>1201083.6499999999</v>
      </c>
      <c r="L17" s="352">
        <f>'CR 2012'!L16</f>
        <v>1447511.3900000001</v>
      </c>
      <c r="M17" s="352">
        <f>'CR 2012'!M16</f>
        <v>1029969.24</v>
      </c>
      <c r="N17" s="352">
        <f>'CR 2012'!N16</f>
        <v>935391.01</v>
      </c>
    </row>
    <row r="18" spans="1:14">
      <c r="A18" s="345" t="s">
        <v>312</v>
      </c>
      <c r="B18" s="345" t="s">
        <v>265</v>
      </c>
      <c r="C18" s="353">
        <f t="shared" ref="C18:N18" si="2">(C16/C17)-1</f>
        <v>0.12495165640053263</v>
      </c>
      <c r="D18" s="353">
        <f t="shared" si="2"/>
        <v>-9.1465940041896898E-2</v>
      </c>
      <c r="E18" s="353">
        <f t="shared" si="2"/>
        <v>6.9256359360895914E-2</v>
      </c>
      <c r="F18" s="353">
        <f t="shared" si="2"/>
        <v>-1.4718631179969965E-2</v>
      </c>
      <c r="G18" s="353">
        <f t="shared" si="2"/>
        <v>-0.10917878602137743</v>
      </c>
      <c r="H18" s="353">
        <f t="shared" si="2"/>
        <v>1.3131885480400562E-2</v>
      </c>
      <c r="I18" s="353">
        <f t="shared" si="2"/>
        <v>-2.1181367405223028E-3</v>
      </c>
      <c r="J18" s="353">
        <f t="shared" si="2"/>
        <v>2.4914399983730906E-2</v>
      </c>
      <c r="K18" s="353">
        <f t="shared" si="2"/>
        <v>2.4404187002295741E-2</v>
      </c>
      <c r="L18" s="353">
        <f t="shared" si="2"/>
        <v>-7.9848352695864877E-3</v>
      </c>
      <c r="M18" s="353">
        <f t="shared" si="2"/>
        <v>2.1621034041754417E-3</v>
      </c>
      <c r="N18" s="353">
        <f t="shared" si="2"/>
        <v>-4.9201787817054199E-2</v>
      </c>
    </row>
    <row r="20" spans="1:14">
      <c r="A20" s="359" t="s">
        <v>316</v>
      </c>
      <c r="B20" s="359" t="s">
        <v>317</v>
      </c>
      <c r="C20" s="360" t="s">
        <v>318</v>
      </c>
      <c r="D20" s="360" t="s">
        <v>319</v>
      </c>
    </row>
    <row r="21" spans="1:14">
      <c r="A21" s="345" t="s">
        <v>165</v>
      </c>
      <c r="B21" s="361" t="s">
        <v>320</v>
      </c>
      <c r="C21" s="362">
        <v>0.03</v>
      </c>
      <c r="D21" s="362">
        <v>0.04</v>
      </c>
    </row>
    <row r="22" spans="1:14">
      <c r="A22" s="345" t="s">
        <v>173</v>
      </c>
      <c r="B22" s="361" t="s">
        <v>321</v>
      </c>
      <c r="C22" s="362">
        <v>0.03</v>
      </c>
      <c r="D22" s="362"/>
    </row>
    <row r="23" spans="1:14">
      <c r="A23" s="345" t="s">
        <v>179</v>
      </c>
      <c r="B23" s="361" t="s">
        <v>322</v>
      </c>
      <c r="C23" s="362">
        <v>0.03</v>
      </c>
      <c r="D23" s="362"/>
    </row>
    <row r="24" spans="1:14">
      <c r="A24" s="345" t="s">
        <v>192</v>
      </c>
      <c r="B24" s="361" t="s">
        <v>323</v>
      </c>
      <c r="C24" s="362">
        <v>0.03</v>
      </c>
      <c r="D24" s="362">
        <v>0.04</v>
      </c>
    </row>
    <row r="25" spans="1:14">
      <c r="A25" s="345" t="s">
        <v>195</v>
      </c>
      <c r="B25" s="361" t="s">
        <v>324</v>
      </c>
      <c r="C25" s="362">
        <v>0.03</v>
      </c>
      <c r="D25" s="362">
        <v>0.04</v>
      </c>
    </row>
    <row r="26" spans="1:14">
      <c r="A26" s="345" t="s">
        <v>211</v>
      </c>
      <c r="B26" s="361" t="s">
        <v>325</v>
      </c>
      <c r="C26" s="362">
        <v>0.03</v>
      </c>
      <c r="D26" s="362">
        <v>0.04</v>
      </c>
    </row>
    <row r="27" spans="1:14">
      <c r="A27" s="345" t="s">
        <v>217</v>
      </c>
      <c r="B27" s="361" t="s">
        <v>326</v>
      </c>
      <c r="C27" s="362">
        <v>0.03</v>
      </c>
      <c r="D27" s="362"/>
    </row>
    <row r="28" spans="1:14">
      <c r="A28" s="345" t="s">
        <v>221</v>
      </c>
      <c r="B28" s="361" t="s">
        <v>327</v>
      </c>
      <c r="C28" s="362">
        <v>0.03</v>
      </c>
      <c r="D28" s="362">
        <v>0.04</v>
      </c>
    </row>
    <row r="29" spans="1:14">
      <c r="A29" s="345" t="s">
        <v>231</v>
      </c>
      <c r="B29" s="361" t="s">
        <v>328</v>
      </c>
      <c r="C29" s="362">
        <v>0.03</v>
      </c>
      <c r="D29" s="362">
        <v>0.04</v>
      </c>
    </row>
    <row r="30" spans="1:14">
      <c r="A30" s="345" t="s">
        <v>243</v>
      </c>
      <c r="B30" s="361" t="s">
        <v>329</v>
      </c>
      <c r="C30" s="362">
        <v>0.03</v>
      </c>
      <c r="D30" s="362">
        <v>0.04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rgb="FFFF0000"/>
  </sheetPr>
  <dimension ref="A1:O30"/>
  <sheetViews>
    <sheetView workbookViewId="0">
      <selection activeCell="J18" sqref="J18"/>
    </sheetView>
  </sheetViews>
  <sheetFormatPr baseColWidth="10" defaultColWidth="9.1640625" defaultRowHeight="14" x14ac:dyDescent="0"/>
  <cols>
    <col min="1" max="2" width="9.1640625" style="345"/>
    <col min="3" max="4" width="9.83203125" style="345" bestFit="1" customWidth="1"/>
    <col min="5" max="7" width="11.33203125" style="345" bestFit="1" customWidth="1"/>
    <col min="8" max="9" width="9.83203125" style="345" bestFit="1" customWidth="1"/>
    <col min="10" max="13" width="11.33203125" style="345" bestFit="1" customWidth="1"/>
    <col min="14" max="14" width="9.83203125" style="345" bestFit="1" customWidth="1"/>
    <col min="15" max="15" width="12.33203125" style="345" bestFit="1" customWidth="1"/>
    <col min="16" max="16384" width="9.1640625" style="345"/>
  </cols>
  <sheetData>
    <row r="1" spans="1:15" ht="45">
      <c r="A1" s="343" t="s">
        <v>309</v>
      </c>
      <c r="B1" s="344"/>
    </row>
    <row r="2" spans="1:15">
      <c r="B2" s="346"/>
    </row>
    <row r="3" spans="1:15">
      <c r="A3" s="354" t="s">
        <v>310</v>
      </c>
      <c r="B3" s="355" t="s">
        <v>311</v>
      </c>
      <c r="C3" s="356">
        <v>40909</v>
      </c>
      <c r="D3" s="356">
        <v>40940</v>
      </c>
      <c r="E3" s="356">
        <v>40969</v>
      </c>
      <c r="F3" s="356">
        <v>41000</v>
      </c>
      <c r="G3" s="356">
        <v>41030</v>
      </c>
      <c r="H3" s="356">
        <v>41061</v>
      </c>
      <c r="I3" s="356">
        <v>41091</v>
      </c>
      <c r="J3" s="356">
        <v>41122</v>
      </c>
      <c r="K3" s="356">
        <v>41153</v>
      </c>
      <c r="L3" s="356">
        <v>41183</v>
      </c>
      <c r="M3" s="356">
        <v>41214</v>
      </c>
      <c r="N3" s="356">
        <v>41244</v>
      </c>
      <c r="O3" s="348" t="s">
        <v>54</v>
      </c>
    </row>
    <row r="4" spans="1:15">
      <c r="A4" s="345" t="s">
        <v>165</v>
      </c>
      <c r="B4" s="346">
        <v>6000</v>
      </c>
      <c r="C4" s="352">
        <v>23541.48</v>
      </c>
      <c r="D4" s="352">
        <v>28388.53</v>
      </c>
      <c r="E4" s="352">
        <v>34326.76</v>
      </c>
      <c r="F4" s="352">
        <v>34798.06</v>
      </c>
      <c r="G4" s="352">
        <v>42990.54</v>
      </c>
      <c r="H4" s="352">
        <v>30961.620000000003</v>
      </c>
      <c r="I4" s="352">
        <v>34429.21</v>
      </c>
      <c r="J4" s="352">
        <v>42616.509999999995</v>
      </c>
      <c r="K4" s="352">
        <v>40175.089999999997</v>
      </c>
      <c r="L4" s="352">
        <v>60150.43</v>
      </c>
      <c r="M4" s="352">
        <v>37106.82</v>
      </c>
      <c r="N4" s="352">
        <v>34917.57</v>
      </c>
      <c r="O4" s="352">
        <f t="shared" ref="O4:O14" si="0">SUM(C4:N4)</f>
        <v>444402.61999999994</v>
      </c>
    </row>
    <row r="5" spans="1:15">
      <c r="A5" s="345" t="s">
        <v>173</v>
      </c>
      <c r="B5" s="346">
        <v>7000</v>
      </c>
      <c r="C5" s="352"/>
      <c r="D5" s="352"/>
      <c r="E5" s="352"/>
      <c r="F5" s="352"/>
      <c r="G5" s="352"/>
      <c r="H5" s="352"/>
      <c r="I5" s="352">
        <v>60.14</v>
      </c>
      <c r="J5" s="352">
        <v>241.75</v>
      </c>
      <c r="K5" s="352"/>
      <c r="L5" s="352"/>
      <c r="M5" s="352"/>
      <c r="N5" s="352"/>
      <c r="O5" s="352">
        <f t="shared" si="0"/>
        <v>301.89</v>
      </c>
    </row>
    <row r="6" spans="1:15">
      <c r="A6" s="345" t="s">
        <v>179</v>
      </c>
      <c r="B6" s="346">
        <v>10000</v>
      </c>
      <c r="C6" s="352">
        <v>6671.75</v>
      </c>
      <c r="D6" s="352">
        <v>2200.15</v>
      </c>
      <c r="E6" s="352">
        <v>65.75</v>
      </c>
      <c r="F6" s="352">
        <v>931.48</v>
      </c>
      <c r="G6" s="352">
        <v>5202.75</v>
      </c>
      <c r="H6" s="352">
        <v>2033.21</v>
      </c>
      <c r="I6" s="352">
        <v>2384.9</v>
      </c>
      <c r="J6" s="352">
        <v>13633.62</v>
      </c>
      <c r="K6" s="352">
        <v>2656.05</v>
      </c>
      <c r="L6" s="352">
        <v>13647.720000000001</v>
      </c>
      <c r="M6" s="352">
        <v>8925.0499999999993</v>
      </c>
      <c r="N6" s="352">
        <v>3365.08</v>
      </c>
      <c r="O6" s="352">
        <f t="shared" si="0"/>
        <v>61717.510000000009</v>
      </c>
    </row>
    <row r="7" spans="1:15">
      <c r="A7" s="345" t="s">
        <v>192</v>
      </c>
      <c r="B7" s="346">
        <v>15000</v>
      </c>
      <c r="C7" s="352">
        <v>463.17</v>
      </c>
      <c r="D7" s="352">
        <v>634.30000000000007</v>
      </c>
      <c r="E7" s="352">
        <v>830.07</v>
      </c>
      <c r="F7" s="352">
        <v>824.06000000000006</v>
      </c>
      <c r="G7" s="352">
        <v>998.07</v>
      </c>
      <c r="H7" s="352">
        <v>609.5</v>
      </c>
      <c r="I7" s="352">
        <v>591.82000000000005</v>
      </c>
      <c r="J7" s="352">
        <v>736.56000000000006</v>
      </c>
      <c r="K7" s="352">
        <v>864.46</v>
      </c>
      <c r="L7" s="352">
        <v>1035.06</v>
      </c>
      <c r="M7" s="352">
        <v>736.72</v>
      </c>
      <c r="N7" s="352">
        <v>672.27</v>
      </c>
      <c r="O7" s="352">
        <f t="shared" si="0"/>
        <v>8996.06</v>
      </c>
    </row>
    <row r="8" spans="1:15">
      <c r="A8" s="345" t="s">
        <v>195</v>
      </c>
      <c r="B8" s="346">
        <v>18000</v>
      </c>
      <c r="C8" s="352">
        <v>529969.68999999994</v>
      </c>
      <c r="D8" s="352">
        <v>752302.57000000007</v>
      </c>
      <c r="E8" s="352">
        <v>997539.77</v>
      </c>
      <c r="F8" s="352">
        <v>988772.12000000011</v>
      </c>
      <c r="G8" s="352">
        <v>1196661.1000000001</v>
      </c>
      <c r="H8" s="352">
        <v>706833.7</v>
      </c>
      <c r="I8" s="352">
        <v>665895.79</v>
      </c>
      <c r="J8" s="352">
        <v>845807.63</v>
      </c>
      <c r="K8" s="352">
        <v>998793.92999999993</v>
      </c>
      <c r="L8" s="352">
        <v>1207037.1000000001</v>
      </c>
      <c r="M8" s="352">
        <v>860194.01</v>
      </c>
      <c r="N8" s="352">
        <v>773371.6</v>
      </c>
      <c r="O8" s="352">
        <f t="shared" si="0"/>
        <v>10523179.01</v>
      </c>
    </row>
    <row r="9" spans="1:15">
      <c r="A9" s="345" t="s">
        <v>211</v>
      </c>
      <c r="B9" s="346">
        <v>21000</v>
      </c>
      <c r="C9" s="352">
        <v>1017.52</v>
      </c>
      <c r="D9" s="352">
        <v>1393.47</v>
      </c>
      <c r="E9" s="352">
        <v>1881.08</v>
      </c>
      <c r="F9" s="352">
        <v>1839.05</v>
      </c>
      <c r="G9" s="352">
        <v>2268.13</v>
      </c>
      <c r="H9" s="352">
        <v>1465.74</v>
      </c>
      <c r="I9" s="352">
        <v>1354</v>
      </c>
      <c r="J9" s="352">
        <v>1672.24</v>
      </c>
      <c r="K9" s="352">
        <v>2065.4499999999998</v>
      </c>
      <c r="L9" s="352">
        <v>2349.23</v>
      </c>
      <c r="M9" s="352">
        <v>1640.79</v>
      </c>
      <c r="N9" s="352">
        <v>1531.59</v>
      </c>
      <c r="O9" s="352">
        <f t="shared" si="0"/>
        <v>20478.29</v>
      </c>
    </row>
    <row r="10" spans="1:15">
      <c r="A10" s="345" t="s">
        <v>217</v>
      </c>
      <c r="B10" s="346">
        <v>24000</v>
      </c>
      <c r="C10" s="352">
        <v>125.2</v>
      </c>
      <c r="D10" s="352">
        <v>59.480000000000004</v>
      </c>
      <c r="E10" s="352">
        <v>452</v>
      </c>
      <c r="F10" s="352">
        <v>145.91</v>
      </c>
      <c r="G10" s="352">
        <v>179.48</v>
      </c>
      <c r="H10" s="352">
        <v>229.16</v>
      </c>
      <c r="I10" s="352">
        <v>259.39999999999998</v>
      </c>
      <c r="J10" s="352">
        <v>270.10000000000002</v>
      </c>
      <c r="K10" s="352">
        <v>1907.89</v>
      </c>
      <c r="L10" s="352">
        <v>1208.1500000000001</v>
      </c>
      <c r="M10" s="352">
        <v>1335.59</v>
      </c>
      <c r="N10" s="352">
        <v>1522.44</v>
      </c>
      <c r="O10" s="352">
        <f t="shared" si="0"/>
        <v>7694.8000000000011</v>
      </c>
    </row>
    <row r="11" spans="1:15">
      <c r="A11" s="345" t="s">
        <v>221</v>
      </c>
      <c r="B11" s="346">
        <v>25000</v>
      </c>
      <c r="C11" s="352">
        <v>45431.46</v>
      </c>
      <c r="D11" s="352">
        <v>52418.43</v>
      </c>
      <c r="E11" s="352">
        <v>64725.98</v>
      </c>
      <c r="F11" s="352">
        <v>62170.710000000006</v>
      </c>
      <c r="G11" s="352">
        <v>74443.679999999993</v>
      </c>
      <c r="H11" s="352">
        <v>54965.420000000006</v>
      </c>
      <c r="I11" s="352">
        <v>60470.44</v>
      </c>
      <c r="J11" s="352">
        <v>66589.820000000007</v>
      </c>
      <c r="K11" s="352">
        <v>86499.31</v>
      </c>
      <c r="L11" s="352">
        <v>87458.77</v>
      </c>
      <c r="M11" s="352">
        <v>62336.909999999996</v>
      </c>
      <c r="N11" s="352">
        <v>60796.38</v>
      </c>
      <c r="O11" s="352">
        <f t="shared" si="0"/>
        <v>778307.31</v>
      </c>
    </row>
    <row r="12" spans="1:15">
      <c r="A12" s="345" t="s">
        <v>231</v>
      </c>
      <c r="B12" s="346">
        <v>27000</v>
      </c>
      <c r="C12" s="352">
        <v>21989.21</v>
      </c>
      <c r="D12" s="352">
        <v>22898.910000000003</v>
      </c>
      <c r="E12" s="352">
        <v>25052.85</v>
      </c>
      <c r="F12" s="352">
        <v>26484.05</v>
      </c>
      <c r="G12" s="352">
        <v>33059.81</v>
      </c>
      <c r="H12" s="352">
        <v>27364.17</v>
      </c>
      <c r="I12" s="352">
        <v>33136.490000000005</v>
      </c>
      <c r="J12" s="352">
        <v>32270.43</v>
      </c>
      <c r="K12" s="352">
        <v>34845.18</v>
      </c>
      <c r="L12" s="352">
        <v>35174.870000000003</v>
      </c>
      <c r="M12" s="352">
        <v>29289.809999999998</v>
      </c>
      <c r="N12" s="352">
        <v>33250.639999999999</v>
      </c>
      <c r="O12" s="352">
        <f t="shared" si="0"/>
        <v>354816.42</v>
      </c>
    </row>
    <row r="13" spans="1:15">
      <c r="A13" s="345" t="s">
        <v>243</v>
      </c>
      <c r="B13" s="346">
        <v>29000</v>
      </c>
      <c r="C13" s="352">
        <v>20256.02</v>
      </c>
      <c r="D13" s="352">
        <v>22077.97</v>
      </c>
      <c r="E13" s="352">
        <v>27390.9</v>
      </c>
      <c r="F13" s="352">
        <v>28522.78</v>
      </c>
      <c r="G13" s="352">
        <v>34434.1</v>
      </c>
      <c r="H13" s="352">
        <v>23504.82</v>
      </c>
      <c r="I13" s="352">
        <v>23272.210000000003</v>
      </c>
      <c r="J13" s="352">
        <v>29788.480000000003</v>
      </c>
      <c r="K13" s="352">
        <v>33276.29</v>
      </c>
      <c r="L13" s="352">
        <v>39450.06</v>
      </c>
      <c r="M13" s="352">
        <v>28403.54</v>
      </c>
      <c r="N13" s="352">
        <v>25963.440000000002</v>
      </c>
      <c r="O13" s="352">
        <f t="shared" si="0"/>
        <v>336340.61</v>
      </c>
    </row>
    <row r="14" spans="1:15" ht="15" thickBot="1">
      <c r="A14" s="345" t="s">
        <v>312</v>
      </c>
      <c r="B14" s="357" t="s">
        <v>313</v>
      </c>
      <c r="C14" s="358">
        <v>649465.49999999988</v>
      </c>
      <c r="D14" s="358">
        <v>882373.81</v>
      </c>
      <c r="E14" s="358">
        <v>1152265.1599999999</v>
      </c>
      <c r="F14" s="358">
        <v>1144488.2200000002</v>
      </c>
      <c r="G14" s="358">
        <v>1390237.6600000001</v>
      </c>
      <c r="H14" s="358">
        <v>847967.34</v>
      </c>
      <c r="I14" s="358">
        <v>821854.39999999991</v>
      </c>
      <c r="J14" s="358">
        <v>1033627.14</v>
      </c>
      <c r="K14" s="358">
        <v>1201083.6499999999</v>
      </c>
      <c r="L14" s="358">
        <v>1447511.3900000001</v>
      </c>
      <c r="M14" s="358">
        <v>1029969.24</v>
      </c>
      <c r="N14" s="358">
        <v>935391.01</v>
      </c>
      <c r="O14" s="352">
        <f t="shared" si="0"/>
        <v>12536234.52</v>
      </c>
    </row>
    <row r="15" spans="1:15" ht="15" thickTop="1">
      <c r="A15" s="345" t="s">
        <v>312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</row>
    <row r="16" spans="1:15">
      <c r="A16" s="345" t="s">
        <v>312</v>
      </c>
      <c r="B16" s="345" t="s">
        <v>314</v>
      </c>
      <c r="C16" s="352">
        <f t="shared" ref="C16:N16" si="1">C14</f>
        <v>649465.49999999988</v>
      </c>
      <c r="D16" s="352">
        <f t="shared" si="1"/>
        <v>882373.81</v>
      </c>
      <c r="E16" s="352">
        <f t="shared" si="1"/>
        <v>1152265.1599999999</v>
      </c>
      <c r="F16" s="352">
        <f t="shared" si="1"/>
        <v>1144488.2200000002</v>
      </c>
      <c r="G16" s="352">
        <f t="shared" si="1"/>
        <v>1390237.6600000001</v>
      </c>
      <c r="H16" s="352">
        <f t="shared" si="1"/>
        <v>847967.34</v>
      </c>
      <c r="I16" s="352">
        <f t="shared" si="1"/>
        <v>821854.39999999991</v>
      </c>
      <c r="J16" s="352">
        <f t="shared" si="1"/>
        <v>1033627.14</v>
      </c>
      <c r="K16" s="352">
        <f t="shared" si="1"/>
        <v>1201083.6499999999</v>
      </c>
      <c r="L16" s="352">
        <f t="shared" si="1"/>
        <v>1447511.3900000001</v>
      </c>
      <c r="M16" s="352">
        <f t="shared" si="1"/>
        <v>1029969.24</v>
      </c>
      <c r="N16" s="352">
        <f t="shared" si="1"/>
        <v>935391.01</v>
      </c>
    </row>
    <row r="17" spans="1:14">
      <c r="A17" s="345" t="s">
        <v>312</v>
      </c>
      <c r="B17" s="345" t="s">
        <v>315</v>
      </c>
      <c r="C17" s="352">
        <f>'CR 2011'!C16</f>
        <v>615304.8600000001</v>
      </c>
      <c r="D17" s="352">
        <f>'CR 2011'!D16</f>
        <v>759852.44000000006</v>
      </c>
      <c r="E17" s="352">
        <f>'CR 2011'!E16</f>
        <v>1217890.6499999999</v>
      </c>
      <c r="F17" s="352">
        <f>'CR 2011'!F16</f>
        <v>1218472.51</v>
      </c>
      <c r="G17" s="352">
        <f>'CR 2011'!G16</f>
        <v>1402617.5399999996</v>
      </c>
      <c r="H17" s="352">
        <f>'CR 2011'!H16</f>
        <v>787217.64</v>
      </c>
      <c r="I17" s="352">
        <f>'CR 2011'!I16</f>
        <v>721891.09</v>
      </c>
      <c r="J17" s="352">
        <f>'CR 2011'!J16</f>
        <v>1007753.63</v>
      </c>
      <c r="K17" s="352">
        <f>'CR 2011'!K16</f>
        <v>1164434.1100000001</v>
      </c>
      <c r="L17" s="352">
        <f>'CR 2011'!L16</f>
        <v>1347633.47</v>
      </c>
      <c r="M17" s="352">
        <f>'CR 2011'!M16</f>
        <v>1136310.4300000002</v>
      </c>
      <c r="N17" s="352">
        <f>'CR 2011'!N16</f>
        <v>923192.18</v>
      </c>
    </row>
    <row r="18" spans="1:14">
      <c r="A18" s="345" t="s">
        <v>312</v>
      </c>
      <c r="B18" s="345" t="s">
        <v>265</v>
      </c>
      <c r="C18" s="353">
        <f t="shared" ref="C18:N18" si="2">(C16/C17)-1</f>
        <v>5.5518235302090435E-2</v>
      </c>
      <c r="D18" s="353">
        <f t="shared" si="2"/>
        <v>0.16124363567221023</v>
      </c>
      <c r="E18" s="353">
        <f t="shared" si="2"/>
        <v>-5.3884550308354817E-2</v>
      </c>
      <c r="F18" s="353">
        <f t="shared" si="2"/>
        <v>-6.0718883185965189E-2</v>
      </c>
      <c r="G18" s="353">
        <f t="shared" si="2"/>
        <v>-8.8262692052171188E-3</v>
      </c>
      <c r="H18" s="353">
        <f t="shared" si="2"/>
        <v>7.7170145729966055E-2</v>
      </c>
      <c r="I18" s="353">
        <f t="shared" si="2"/>
        <v>0.13847422607750981</v>
      </c>
      <c r="J18" s="353">
        <f t="shared" si="2"/>
        <v>2.5674439892615419E-2</v>
      </c>
      <c r="K18" s="353">
        <f t="shared" si="2"/>
        <v>3.1474120935876648E-2</v>
      </c>
      <c r="L18" s="353">
        <f t="shared" si="2"/>
        <v>7.4113564424902689E-2</v>
      </c>
      <c r="M18" s="353">
        <f t="shared" si="2"/>
        <v>-9.3584628982064544E-2</v>
      </c>
      <c r="N18" s="353">
        <f t="shared" si="2"/>
        <v>1.3213749275909015E-2</v>
      </c>
    </row>
    <row r="20" spans="1:14">
      <c r="A20" s="359" t="s">
        <v>316</v>
      </c>
      <c r="B20" s="359" t="s">
        <v>317</v>
      </c>
      <c r="C20" s="360" t="s">
        <v>318</v>
      </c>
      <c r="D20" s="360" t="s">
        <v>319</v>
      </c>
    </row>
    <row r="21" spans="1:14">
      <c r="A21" s="345" t="s">
        <v>165</v>
      </c>
      <c r="B21" s="361" t="s">
        <v>320</v>
      </c>
      <c r="C21" s="362">
        <v>0.03</v>
      </c>
      <c r="D21" s="362">
        <v>0.04</v>
      </c>
    </row>
    <row r="22" spans="1:14">
      <c r="A22" s="345" t="s">
        <v>173</v>
      </c>
      <c r="B22" s="361" t="s">
        <v>321</v>
      </c>
      <c r="C22" s="362">
        <v>0.03</v>
      </c>
      <c r="D22" s="362"/>
    </row>
    <row r="23" spans="1:14">
      <c r="A23" s="345" t="s">
        <v>179</v>
      </c>
      <c r="B23" s="361" t="s">
        <v>322</v>
      </c>
      <c r="C23" s="362">
        <v>0.03</v>
      </c>
      <c r="D23" s="362"/>
    </row>
    <row r="24" spans="1:14">
      <c r="A24" s="345" t="s">
        <v>192</v>
      </c>
      <c r="B24" s="361" t="s">
        <v>323</v>
      </c>
      <c r="C24" s="362">
        <v>0.03</v>
      </c>
      <c r="D24" s="362">
        <v>0.04</v>
      </c>
    </row>
    <row r="25" spans="1:14">
      <c r="A25" s="345" t="s">
        <v>195</v>
      </c>
      <c r="B25" s="361" t="s">
        <v>324</v>
      </c>
      <c r="C25" s="362">
        <v>0.03</v>
      </c>
      <c r="D25" s="362">
        <v>0.04</v>
      </c>
    </row>
    <row r="26" spans="1:14">
      <c r="A26" s="345" t="s">
        <v>211</v>
      </c>
      <c r="B26" s="361" t="s">
        <v>325</v>
      </c>
      <c r="C26" s="362">
        <v>0.03</v>
      </c>
      <c r="D26" s="362">
        <v>0.04</v>
      </c>
    </row>
    <row r="27" spans="1:14">
      <c r="A27" s="345" t="s">
        <v>217</v>
      </c>
      <c r="B27" s="361" t="s">
        <v>326</v>
      </c>
      <c r="C27" s="362">
        <v>0.03</v>
      </c>
      <c r="D27" s="362"/>
    </row>
    <row r="28" spans="1:14">
      <c r="A28" s="345" t="s">
        <v>221</v>
      </c>
      <c r="B28" s="361" t="s">
        <v>327</v>
      </c>
      <c r="C28" s="362">
        <v>0.03</v>
      </c>
      <c r="D28" s="362">
        <v>0.04</v>
      </c>
    </row>
    <row r="29" spans="1:14">
      <c r="A29" s="345" t="s">
        <v>231</v>
      </c>
      <c r="B29" s="361" t="s">
        <v>328</v>
      </c>
      <c r="C29" s="362">
        <v>0.03</v>
      </c>
      <c r="D29" s="362">
        <v>0.04</v>
      </c>
    </row>
    <row r="30" spans="1:14">
      <c r="A30" s="345" t="s">
        <v>243</v>
      </c>
      <c r="B30" s="361" t="s">
        <v>329</v>
      </c>
      <c r="C30" s="362">
        <v>0.03</v>
      </c>
      <c r="D30" s="362">
        <v>0.04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rgb="FFFF0000"/>
  </sheetPr>
  <dimension ref="A1:O30"/>
  <sheetViews>
    <sheetView workbookViewId="0">
      <selection activeCell="J18" sqref="J18"/>
    </sheetView>
  </sheetViews>
  <sheetFormatPr baseColWidth="10" defaultColWidth="9.1640625" defaultRowHeight="14" x14ac:dyDescent="0"/>
  <cols>
    <col min="1" max="2" width="9.1640625" style="345"/>
    <col min="3" max="4" width="9.83203125" style="345" bestFit="1" customWidth="1"/>
    <col min="5" max="7" width="11.33203125" style="345" bestFit="1" customWidth="1"/>
    <col min="8" max="9" width="9.83203125" style="345" bestFit="1" customWidth="1"/>
    <col min="10" max="13" width="11.33203125" style="345" bestFit="1" customWidth="1"/>
    <col min="14" max="14" width="9.83203125" style="345" bestFit="1" customWidth="1"/>
    <col min="15" max="15" width="12.33203125" style="345" bestFit="1" customWidth="1"/>
    <col min="16" max="16384" width="9.1640625" style="345"/>
  </cols>
  <sheetData>
    <row r="1" spans="1:15" ht="45">
      <c r="A1" s="343" t="s">
        <v>309</v>
      </c>
      <c r="B1" s="344"/>
    </row>
    <row r="2" spans="1:15">
      <c r="B2" s="346"/>
    </row>
    <row r="3" spans="1:15">
      <c r="A3" s="354" t="s">
        <v>310</v>
      </c>
      <c r="B3" s="355" t="s">
        <v>311</v>
      </c>
      <c r="C3" s="356">
        <v>40544</v>
      </c>
      <c r="D3" s="356">
        <v>40575</v>
      </c>
      <c r="E3" s="356">
        <v>40603</v>
      </c>
      <c r="F3" s="356">
        <v>40634</v>
      </c>
      <c r="G3" s="356">
        <v>40664</v>
      </c>
      <c r="H3" s="356">
        <v>40695</v>
      </c>
      <c r="I3" s="356">
        <v>40725</v>
      </c>
      <c r="J3" s="356">
        <v>40756</v>
      </c>
      <c r="K3" s="356">
        <v>40787</v>
      </c>
      <c r="L3" s="356">
        <v>40817</v>
      </c>
      <c r="M3" s="356">
        <v>40848</v>
      </c>
      <c r="N3" s="356">
        <v>40878</v>
      </c>
      <c r="O3" s="348" t="s">
        <v>54</v>
      </c>
    </row>
    <row r="4" spans="1:15">
      <c r="A4" s="345" t="s">
        <v>165</v>
      </c>
      <c r="B4" s="346">
        <v>6000</v>
      </c>
      <c r="C4" s="352">
        <v>20932.649999999998</v>
      </c>
      <c r="D4" s="352">
        <v>23301.83</v>
      </c>
      <c r="E4" s="352">
        <v>36391.590000000004</v>
      </c>
      <c r="F4" s="352">
        <v>34543.79</v>
      </c>
      <c r="G4" s="352">
        <v>42828.89</v>
      </c>
      <c r="H4" s="352">
        <v>28197.7</v>
      </c>
      <c r="I4" s="352">
        <v>32993.86</v>
      </c>
      <c r="J4" s="352">
        <v>44173.13</v>
      </c>
      <c r="K4" s="352">
        <v>52240.97</v>
      </c>
      <c r="L4" s="352">
        <v>44436.01</v>
      </c>
      <c r="M4" s="352">
        <v>45676.130000000005</v>
      </c>
      <c r="N4" s="352">
        <v>30466.03</v>
      </c>
      <c r="O4" s="352">
        <f t="shared" ref="O4:O14" si="0">SUM(C4:N4)</f>
        <v>436182.58000000007</v>
      </c>
    </row>
    <row r="5" spans="1:15">
      <c r="A5" s="345" t="s">
        <v>173</v>
      </c>
      <c r="B5" s="346">
        <v>7000</v>
      </c>
      <c r="C5" s="352"/>
      <c r="D5" s="352">
        <v>21.36</v>
      </c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>
        <f t="shared" si="0"/>
        <v>21.36</v>
      </c>
    </row>
    <row r="6" spans="1:15">
      <c r="A6" s="345" t="s">
        <v>179</v>
      </c>
      <c r="B6" s="346">
        <v>10000</v>
      </c>
      <c r="C6" s="352">
        <v>1631.78</v>
      </c>
      <c r="D6" s="352">
        <v>1498.19</v>
      </c>
      <c r="E6" s="352">
        <v>47.69</v>
      </c>
      <c r="F6" s="352">
        <v>268.57</v>
      </c>
      <c r="G6" s="352">
        <v>1356.03</v>
      </c>
      <c r="H6" s="352">
        <v>1151.3800000000001</v>
      </c>
      <c r="I6" s="352">
        <v>1021.1</v>
      </c>
      <c r="J6" s="352">
        <v>11670.62</v>
      </c>
      <c r="K6" s="352">
        <v>564.51</v>
      </c>
      <c r="L6" s="352">
        <v>1580.99</v>
      </c>
      <c r="M6" s="352">
        <v>7711.77</v>
      </c>
      <c r="N6" s="352">
        <v>1133.07</v>
      </c>
      <c r="O6" s="352">
        <f t="shared" si="0"/>
        <v>29635.7</v>
      </c>
    </row>
    <row r="7" spans="1:15">
      <c r="A7" s="345" t="s">
        <v>192</v>
      </c>
      <c r="B7" s="346">
        <v>15000</v>
      </c>
      <c r="C7" s="352">
        <v>411.06</v>
      </c>
      <c r="D7" s="352">
        <v>508.03000000000003</v>
      </c>
      <c r="E7" s="352">
        <v>877.61</v>
      </c>
      <c r="F7" s="352">
        <v>877.9</v>
      </c>
      <c r="G7" s="352">
        <v>1009.81</v>
      </c>
      <c r="H7" s="352">
        <v>566.45000000000005</v>
      </c>
      <c r="I7" s="352">
        <v>519.49</v>
      </c>
      <c r="J7" s="352">
        <v>717.77</v>
      </c>
      <c r="K7" s="352">
        <v>838.75</v>
      </c>
      <c r="L7" s="352">
        <v>969.93000000000006</v>
      </c>
      <c r="M7" s="352">
        <v>813.32</v>
      </c>
      <c r="N7" s="352">
        <v>664.41</v>
      </c>
      <c r="O7" s="352">
        <f t="shared" si="0"/>
        <v>8774.5299999999988</v>
      </c>
    </row>
    <row r="8" spans="1:15">
      <c r="A8" s="345" t="s">
        <v>195</v>
      </c>
      <c r="B8" s="346">
        <v>18000</v>
      </c>
      <c r="C8" s="352">
        <v>514440.10000000003</v>
      </c>
      <c r="D8" s="352">
        <v>651233.76</v>
      </c>
      <c r="E8" s="352">
        <v>1063263.05</v>
      </c>
      <c r="F8" s="352">
        <v>1064035.06</v>
      </c>
      <c r="G8" s="352">
        <v>1218162.1299999999</v>
      </c>
      <c r="H8" s="352">
        <v>661262.12</v>
      </c>
      <c r="I8" s="352">
        <v>591595.76</v>
      </c>
      <c r="J8" s="352">
        <v>829604.28</v>
      </c>
      <c r="K8" s="352">
        <v>979675.83000000007</v>
      </c>
      <c r="L8" s="352">
        <v>1148144.3600000001</v>
      </c>
      <c r="M8" s="352">
        <v>957272.44000000006</v>
      </c>
      <c r="N8" s="352">
        <v>776782.83000000007</v>
      </c>
      <c r="O8" s="352">
        <f t="shared" si="0"/>
        <v>10455471.719999999</v>
      </c>
    </row>
    <row r="9" spans="1:15">
      <c r="A9" s="345" t="s">
        <v>211</v>
      </c>
      <c r="B9" s="346">
        <v>21000</v>
      </c>
      <c r="C9" s="352">
        <v>921.81000000000006</v>
      </c>
      <c r="D9" s="352">
        <v>1139.25</v>
      </c>
      <c r="E9" s="352">
        <v>1927.99</v>
      </c>
      <c r="F9" s="352">
        <v>1928.63</v>
      </c>
      <c r="G9" s="352">
        <v>2218.39</v>
      </c>
      <c r="H9" s="352">
        <v>1244.4100000000001</v>
      </c>
      <c r="I9" s="352">
        <v>1141.24</v>
      </c>
      <c r="J9" s="352">
        <v>1576.83</v>
      </c>
      <c r="K9" s="352">
        <v>1842.5900000000001</v>
      </c>
      <c r="L9" s="352">
        <v>2130.7800000000002</v>
      </c>
      <c r="M9" s="352">
        <v>1786.74</v>
      </c>
      <c r="N9" s="352">
        <v>1459.6200000000001</v>
      </c>
      <c r="O9" s="352">
        <f t="shared" si="0"/>
        <v>19318.28</v>
      </c>
    </row>
    <row r="10" spans="1:15">
      <c r="A10" s="345" t="s">
        <v>217</v>
      </c>
      <c r="B10" s="346">
        <v>24000</v>
      </c>
      <c r="C10" s="352">
        <v>115.73</v>
      </c>
      <c r="D10" s="352">
        <v>45.14</v>
      </c>
      <c r="E10" s="352">
        <v>126.07000000000001</v>
      </c>
      <c r="F10" s="352">
        <v>84.94</v>
      </c>
      <c r="G10" s="352">
        <v>125.69</v>
      </c>
      <c r="H10" s="352">
        <v>91.59</v>
      </c>
      <c r="I10" s="352">
        <v>62.55</v>
      </c>
      <c r="J10" s="352">
        <v>154.11000000000001</v>
      </c>
      <c r="K10" s="352">
        <v>87.87</v>
      </c>
      <c r="L10" s="352">
        <v>253.66</v>
      </c>
      <c r="M10" s="352">
        <v>89.67</v>
      </c>
      <c r="N10" s="352">
        <v>166.27</v>
      </c>
      <c r="O10" s="352">
        <f t="shared" si="0"/>
        <v>1403.29</v>
      </c>
    </row>
    <row r="11" spans="1:15">
      <c r="A11" s="345" t="s">
        <v>221</v>
      </c>
      <c r="B11" s="346">
        <v>25000</v>
      </c>
      <c r="C11" s="352">
        <v>39827.9</v>
      </c>
      <c r="D11" s="352">
        <v>46535.74</v>
      </c>
      <c r="E11" s="352">
        <v>64848.4</v>
      </c>
      <c r="F11" s="352">
        <v>62202.71</v>
      </c>
      <c r="G11" s="352">
        <v>71190.39</v>
      </c>
      <c r="H11" s="352">
        <v>50792.08</v>
      </c>
      <c r="I11" s="352">
        <v>47811.939999999995</v>
      </c>
      <c r="J11" s="352">
        <v>62283.15</v>
      </c>
      <c r="K11" s="352">
        <v>67856.239999999991</v>
      </c>
      <c r="L11" s="352">
        <v>83615.679999999993</v>
      </c>
      <c r="M11" s="352">
        <v>64162.19</v>
      </c>
      <c r="N11" s="352">
        <v>56381.100000000006</v>
      </c>
      <c r="O11" s="352">
        <f t="shared" si="0"/>
        <v>717507.5199999999</v>
      </c>
    </row>
    <row r="12" spans="1:15">
      <c r="A12" s="345" t="s">
        <v>231</v>
      </c>
      <c r="B12" s="346">
        <v>27000</v>
      </c>
      <c r="C12" s="352">
        <v>20040.48</v>
      </c>
      <c r="D12" s="352">
        <v>17230.43</v>
      </c>
      <c r="E12" s="352">
        <v>23623.27</v>
      </c>
      <c r="F12" s="352">
        <v>25619.08</v>
      </c>
      <c r="G12" s="352">
        <v>33031.300000000003</v>
      </c>
      <c r="H12" s="352">
        <v>21948.260000000002</v>
      </c>
      <c r="I12" s="352">
        <v>25649.360000000001</v>
      </c>
      <c r="J12" s="352">
        <v>29035.47</v>
      </c>
      <c r="K12" s="352">
        <v>30044</v>
      </c>
      <c r="L12" s="352">
        <v>33402.46</v>
      </c>
      <c r="M12" s="352">
        <v>29687.32</v>
      </c>
      <c r="N12" s="352">
        <v>32597.780000000002</v>
      </c>
      <c r="O12" s="352">
        <f t="shared" si="0"/>
        <v>321909.21000000002</v>
      </c>
    </row>
    <row r="13" spans="1:15">
      <c r="A13" s="345" t="s">
        <v>243</v>
      </c>
      <c r="B13" s="346">
        <v>29000</v>
      </c>
      <c r="C13" s="352">
        <v>16983.349999999999</v>
      </c>
      <c r="D13" s="352">
        <v>18338.71</v>
      </c>
      <c r="E13" s="352">
        <v>26784.98</v>
      </c>
      <c r="F13" s="352">
        <v>28911.83</v>
      </c>
      <c r="G13" s="352">
        <v>32694.91</v>
      </c>
      <c r="H13" s="352">
        <v>21963.65</v>
      </c>
      <c r="I13" s="352">
        <v>21095.79</v>
      </c>
      <c r="J13" s="352">
        <v>28538.27</v>
      </c>
      <c r="K13" s="352">
        <v>31283.35</v>
      </c>
      <c r="L13" s="352">
        <v>33099.599999999999</v>
      </c>
      <c r="M13" s="352">
        <v>29110.85</v>
      </c>
      <c r="N13" s="352">
        <v>23541.07</v>
      </c>
      <c r="O13" s="352">
        <f t="shared" si="0"/>
        <v>312346.36</v>
      </c>
    </row>
    <row r="14" spans="1:15" ht="15" thickBot="1">
      <c r="A14" s="345" t="s">
        <v>312</v>
      </c>
      <c r="B14" s="357" t="s">
        <v>313</v>
      </c>
      <c r="C14" s="358">
        <v>615304.8600000001</v>
      </c>
      <c r="D14" s="358">
        <v>759852.44000000006</v>
      </c>
      <c r="E14" s="358">
        <v>1217890.6499999999</v>
      </c>
      <c r="F14" s="358">
        <v>1218472.51</v>
      </c>
      <c r="G14" s="358">
        <v>1402617.5399999996</v>
      </c>
      <c r="H14" s="358">
        <v>787217.64</v>
      </c>
      <c r="I14" s="358">
        <v>721891.09</v>
      </c>
      <c r="J14" s="358">
        <v>1007753.63</v>
      </c>
      <c r="K14" s="358">
        <v>1164434.1100000001</v>
      </c>
      <c r="L14" s="358">
        <v>1347633.47</v>
      </c>
      <c r="M14" s="358">
        <v>1136310.4300000002</v>
      </c>
      <c r="N14" s="358">
        <v>923192.18</v>
      </c>
      <c r="O14" s="352">
        <f t="shared" si="0"/>
        <v>12302570.549999999</v>
      </c>
    </row>
    <row r="15" spans="1:15" ht="15" thickTop="1">
      <c r="A15" s="345" t="s">
        <v>312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</row>
    <row r="16" spans="1:15">
      <c r="A16" s="345" t="s">
        <v>312</v>
      </c>
      <c r="B16" s="345" t="s">
        <v>314</v>
      </c>
      <c r="C16" s="352">
        <f t="shared" ref="C16:N16" si="1">C14</f>
        <v>615304.8600000001</v>
      </c>
      <c r="D16" s="352">
        <f t="shared" si="1"/>
        <v>759852.44000000006</v>
      </c>
      <c r="E16" s="352">
        <f t="shared" si="1"/>
        <v>1217890.6499999999</v>
      </c>
      <c r="F16" s="352">
        <f t="shared" si="1"/>
        <v>1218472.51</v>
      </c>
      <c r="G16" s="352">
        <f t="shared" si="1"/>
        <v>1402617.5399999996</v>
      </c>
      <c r="H16" s="352">
        <f t="shared" si="1"/>
        <v>787217.64</v>
      </c>
      <c r="I16" s="352">
        <f t="shared" si="1"/>
        <v>721891.09</v>
      </c>
      <c r="J16" s="352">
        <f t="shared" si="1"/>
        <v>1007753.63</v>
      </c>
      <c r="K16" s="352">
        <f t="shared" si="1"/>
        <v>1164434.1100000001</v>
      </c>
      <c r="L16" s="352">
        <f t="shared" si="1"/>
        <v>1347633.47</v>
      </c>
      <c r="M16" s="352">
        <f t="shared" si="1"/>
        <v>1136310.4300000002</v>
      </c>
      <c r="N16" s="352">
        <f t="shared" si="1"/>
        <v>923192.18</v>
      </c>
    </row>
    <row r="17" spans="1:14">
      <c r="A17" s="345" t="s">
        <v>312</v>
      </c>
      <c r="B17" s="345" t="s">
        <v>315</v>
      </c>
      <c r="C17" s="352">
        <f>'CR 2010'!C16</f>
        <v>575713.59999999986</v>
      </c>
      <c r="D17" s="352">
        <f>'CR 2010'!D16</f>
        <v>740577.56</v>
      </c>
      <c r="E17" s="352">
        <f>'CR 2010'!E16</f>
        <v>1126662.69</v>
      </c>
      <c r="F17" s="352">
        <f>'CR 2010'!F16</f>
        <v>1152418.0800000003</v>
      </c>
      <c r="G17" s="352">
        <f>'CR 2010'!G16</f>
        <v>1124953.1900000002</v>
      </c>
      <c r="H17" s="352">
        <f>'CR 2010'!H16</f>
        <v>853553.6</v>
      </c>
      <c r="I17" s="352">
        <f>'CR 2010'!I16</f>
        <v>707539.97</v>
      </c>
      <c r="J17" s="352">
        <f>'CR 2010'!J16</f>
        <v>840674.32000000007</v>
      </c>
      <c r="K17" s="352">
        <f>'CR 2010'!K16</f>
        <v>1179660.0000000002</v>
      </c>
      <c r="L17" s="352">
        <f>'CR 2010'!L16</f>
        <v>1183276.49</v>
      </c>
      <c r="M17" s="352">
        <f>'CR 2010'!M16</f>
        <v>972438.44000000006</v>
      </c>
      <c r="N17" s="352">
        <f>'CR 2010'!N16</f>
        <v>740216.26</v>
      </c>
    </row>
    <row r="18" spans="1:14">
      <c r="A18" s="345" t="s">
        <v>312</v>
      </c>
      <c r="B18" s="345" t="s">
        <v>265</v>
      </c>
      <c r="C18" s="353">
        <f t="shared" ref="C18:N18" si="2">(C16/C17)-1</f>
        <v>6.8769019873770931E-2</v>
      </c>
      <c r="D18" s="353">
        <f t="shared" si="2"/>
        <v>2.6026821552627144E-2</v>
      </c>
      <c r="E18" s="353">
        <f t="shared" si="2"/>
        <v>8.0971847927262086E-2</v>
      </c>
      <c r="F18" s="353">
        <f t="shared" si="2"/>
        <v>5.7318113231961565E-2</v>
      </c>
      <c r="G18" s="353">
        <f t="shared" si="2"/>
        <v>0.24682302558740177</v>
      </c>
      <c r="H18" s="353">
        <f t="shared" si="2"/>
        <v>-7.7717392323106593E-2</v>
      </c>
      <c r="I18" s="353">
        <f t="shared" si="2"/>
        <v>2.0283122662314135E-2</v>
      </c>
      <c r="J18" s="353">
        <f t="shared" si="2"/>
        <v>0.1987443960462596</v>
      </c>
      <c r="K18" s="353">
        <f t="shared" si="2"/>
        <v>-1.2907015580760683E-2</v>
      </c>
      <c r="L18" s="353">
        <f t="shared" si="2"/>
        <v>0.13889989481663756</v>
      </c>
      <c r="M18" s="353">
        <f t="shared" si="2"/>
        <v>0.16851656954243821</v>
      </c>
      <c r="N18" s="353">
        <f t="shared" si="2"/>
        <v>0.24719251641405449</v>
      </c>
    </row>
    <row r="20" spans="1:14">
      <c r="A20" s="359" t="s">
        <v>316</v>
      </c>
      <c r="B20" s="359" t="s">
        <v>317</v>
      </c>
      <c r="C20" s="360" t="s">
        <v>318</v>
      </c>
      <c r="D20" s="360" t="s">
        <v>319</v>
      </c>
    </row>
    <row r="21" spans="1:14">
      <c r="A21" s="345" t="s">
        <v>165</v>
      </c>
      <c r="B21" s="361" t="s">
        <v>320</v>
      </c>
      <c r="C21" s="362">
        <v>0.03</v>
      </c>
      <c r="D21" s="362">
        <v>0.04</v>
      </c>
    </row>
    <row r="22" spans="1:14">
      <c r="A22" s="345" t="s">
        <v>173</v>
      </c>
      <c r="B22" s="361" t="s">
        <v>321</v>
      </c>
      <c r="C22" s="362">
        <v>0.03</v>
      </c>
      <c r="D22" s="362"/>
    </row>
    <row r="23" spans="1:14">
      <c r="A23" s="345" t="s">
        <v>179</v>
      </c>
      <c r="B23" s="361" t="s">
        <v>322</v>
      </c>
      <c r="C23" s="362">
        <v>0.03</v>
      </c>
      <c r="D23" s="362"/>
    </row>
    <row r="24" spans="1:14">
      <c r="A24" s="345" t="s">
        <v>192</v>
      </c>
      <c r="B24" s="361" t="s">
        <v>323</v>
      </c>
      <c r="C24" s="362">
        <v>0.03</v>
      </c>
      <c r="D24" s="362">
        <v>0.04</v>
      </c>
    </row>
    <row r="25" spans="1:14">
      <c r="A25" s="345" t="s">
        <v>195</v>
      </c>
      <c r="B25" s="361" t="s">
        <v>324</v>
      </c>
      <c r="C25" s="362">
        <v>0.03</v>
      </c>
      <c r="D25" s="362">
        <v>0.04</v>
      </c>
    </row>
    <row r="26" spans="1:14">
      <c r="A26" s="345" t="s">
        <v>211</v>
      </c>
      <c r="B26" s="361" t="s">
        <v>325</v>
      </c>
      <c r="C26" s="362">
        <v>0.03</v>
      </c>
      <c r="D26" s="362">
        <v>0.04</v>
      </c>
    </row>
    <row r="27" spans="1:14">
      <c r="A27" s="345" t="s">
        <v>217</v>
      </c>
      <c r="B27" s="361" t="s">
        <v>326</v>
      </c>
      <c r="C27" s="362">
        <v>0.03</v>
      </c>
      <c r="D27" s="362"/>
    </row>
    <row r="28" spans="1:14">
      <c r="A28" s="345" t="s">
        <v>221</v>
      </c>
      <c r="B28" s="361" t="s">
        <v>327</v>
      </c>
      <c r="C28" s="362">
        <v>0.03</v>
      </c>
      <c r="D28" s="362">
        <v>0.04</v>
      </c>
    </row>
    <row r="29" spans="1:14">
      <c r="A29" s="345" t="s">
        <v>231</v>
      </c>
      <c r="B29" s="361" t="s">
        <v>328</v>
      </c>
      <c r="C29" s="362">
        <v>0.03</v>
      </c>
      <c r="D29" s="362">
        <v>0.04</v>
      </c>
    </row>
    <row r="30" spans="1:14">
      <c r="A30" s="345" t="s">
        <v>243</v>
      </c>
      <c r="B30" s="361" t="s">
        <v>329</v>
      </c>
      <c r="C30" s="362">
        <v>0.03</v>
      </c>
      <c r="D30" s="362">
        <v>0.04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rgb="FFFF0000"/>
  </sheetPr>
  <dimension ref="A1:O30"/>
  <sheetViews>
    <sheetView workbookViewId="0">
      <selection activeCell="J18" sqref="J18"/>
    </sheetView>
  </sheetViews>
  <sheetFormatPr baseColWidth="10" defaultColWidth="9.1640625" defaultRowHeight="14" x14ac:dyDescent="0"/>
  <cols>
    <col min="1" max="2" width="9.1640625" style="345"/>
    <col min="3" max="4" width="9.83203125" style="345" bestFit="1" customWidth="1"/>
    <col min="5" max="7" width="11.33203125" style="345" bestFit="1" customWidth="1"/>
    <col min="8" max="10" width="9.83203125" style="345" bestFit="1" customWidth="1"/>
    <col min="11" max="12" width="11.33203125" style="345" bestFit="1" customWidth="1"/>
    <col min="13" max="14" width="9.83203125" style="345" bestFit="1" customWidth="1"/>
    <col min="15" max="15" width="12.33203125" style="345" bestFit="1" customWidth="1"/>
    <col min="16" max="16384" width="9.1640625" style="345"/>
  </cols>
  <sheetData>
    <row r="1" spans="1:15" ht="45">
      <c r="A1" s="343" t="s">
        <v>309</v>
      </c>
      <c r="B1" s="344"/>
    </row>
    <row r="2" spans="1:15">
      <c r="B2" s="346"/>
    </row>
    <row r="3" spans="1:15">
      <c r="A3" s="354" t="s">
        <v>310</v>
      </c>
      <c r="B3" s="355" t="s">
        <v>311</v>
      </c>
      <c r="C3" s="356">
        <v>40179</v>
      </c>
      <c r="D3" s="356">
        <v>40210</v>
      </c>
      <c r="E3" s="356">
        <v>40238</v>
      </c>
      <c r="F3" s="356">
        <v>40269</v>
      </c>
      <c r="G3" s="356">
        <v>40299</v>
      </c>
      <c r="H3" s="356">
        <v>40330</v>
      </c>
      <c r="I3" s="356">
        <v>40360</v>
      </c>
      <c r="J3" s="356">
        <v>40391</v>
      </c>
      <c r="K3" s="356">
        <v>40422</v>
      </c>
      <c r="L3" s="356">
        <v>40452</v>
      </c>
      <c r="M3" s="356">
        <v>40483</v>
      </c>
      <c r="N3" s="356">
        <v>40513</v>
      </c>
      <c r="O3" s="348" t="s">
        <v>54</v>
      </c>
    </row>
    <row r="4" spans="1:15">
      <c r="A4" s="345" t="s">
        <v>165</v>
      </c>
      <c r="B4" s="346">
        <v>6000</v>
      </c>
      <c r="C4" s="352">
        <v>18923.400000000001</v>
      </c>
      <c r="D4" s="352">
        <v>22999.24</v>
      </c>
      <c r="E4" s="352">
        <v>29727.39</v>
      </c>
      <c r="F4" s="352">
        <v>32324.84</v>
      </c>
      <c r="G4" s="352">
        <v>34328.42</v>
      </c>
      <c r="H4" s="352">
        <v>29938.67</v>
      </c>
      <c r="I4" s="352">
        <v>25526.510000000002</v>
      </c>
      <c r="J4" s="352">
        <v>35476.520000000004</v>
      </c>
      <c r="K4" s="352">
        <v>46460.380000000005</v>
      </c>
      <c r="L4" s="352">
        <v>41215.19</v>
      </c>
      <c r="M4" s="352">
        <v>31156.959999999999</v>
      </c>
      <c r="N4" s="352">
        <v>23661.640000000003</v>
      </c>
      <c r="O4" s="352">
        <f t="shared" ref="O4:O14" si="0">SUM(C4:N4)</f>
        <v>371739.16000000003</v>
      </c>
    </row>
    <row r="5" spans="1:15">
      <c r="A5" s="345" t="s">
        <v>173</v>
      </c>
      <c r="B5" s="346">
        <v>7000</v>
      </c>
      <c r="C5" s="352"/>
      <c r="D5" s="352">
        <v>54.17</v>
      </c>
      <c r="E5" s="352"/>
      <c r="F5" s="352"/>
      <c r="G5" s="352"/>
      <c r="H5" s="352">
        <v>43.17</v>
      </c>
      <c r="I5" s="352"/>
      <c r="J5" s="352">
        <v>54.17</v>
      </c>
      <c r="K5" s="352"/>
      <c r="L5" s="352"/>
      <c r="M5" s="352">
        <v>14.21</v>
      </c>
      <c r="N5" s="352"/>
      <c r="O5" s="352">
        <f t="shared" si="0"/>
        <v>165.72</v>
      </c>
    </row>
    <row r="6" spans="1:15">
      <c r="A6" s="345" t="s">
        <v>179</v>
      </c>
      <c r="B6" s="346">
        <v>10000</v>
      </c>
      <c r="C6" s="352">
        <v>144.34</v>
      </c>
      <c r="D6" s="352">
        <v>2651.78</v>
      </c>
      <c r="E6" s="352"/>
      <c r="F6" s="352"/>
      <c r="G6" s="352">
        <v>1176.6200000000001</v>
      </c>
      <c r="H6" s="352">
        <v>738.69</v>
      </c>
      <c r="I6" s="352">
        <v>221.27</v>
      </c>
      <c r="J6" s="352">
        <v>9160.24</v>
      </c>
      <c r="K6" s="352">
        <v>207.48000000000002</v>
      </c>
      <c r="L6" s="352">
        <v>357.47</v>
      </c>
      <c r="M6" s="352">
        <v>7100.42</v>
      </c>
      <c r="N6" s="352">
        <v>10.6</v>
      </c>
      <c r="O6" s="352">
        <f t="shared" si="0"/>
        <v>21768.909999999996</v>
      </c>
    </row>
    <row r="7" spans="1:15">
      <c r="A7" s="345" t="s">
        <v>192</v>
      </c>
      <c r="B7" s="346">
        <v>15000</v>
      </c>
      <c r="C7" s="352">
        <v>381.36</v>
      </c>
      <c r="D7" s="352">
        <v>488.88</v>
      </c>
      <c r="E7" s="352">
        <v>746.58</v>
      </c>
      <c r="F7" s="352">
        <v>763.66</v>
      </c>
      <c r="G7" s="352">
        <v>744.65</v>
      </c>
      <c r="H7" s="352">
        <v>565.07000000000005</v>
      </c>
      <c r="I7" s="352">
        <v>473.81</v>
      </c>
      <c r="J7" s="352">
        <v>556.98</v>
      </c>
      <c r="K7" s="352">
        <v>790.07</v>
      </c>
      <c r="L7" s="352">
        <v>792.41</v>
      </c>
      <c r="M7" s="352">
        <v>646.64</v>
      </c>
      <c r="N7" s="352">
        <v>495.86</v>
      </c>
      <c r="O7" s="352">
        <f t="shared" si="0"/>
        <v>7445.9699999999993</v>
      </c>
    </row>
    <row r="8" spans="1:15">
      <c r="A8" s="345" t="s">
        <v>195</v>
      </c>
      <c r="B8" s="346">
        <v>18000</v>
      </c>
      <c r="C8" s="352">
        <v>487077.16</v>
      </c>
      <c r="D8" s="352">
        <v>635757.5</v>
      </c>
      <c r="E8" s="352">
        <v>993645.8600000001</v>
      </c>
      <c r="F8" s="352">
        <v>1015421.0900000001</v>
      </c>
      <c r="G8" s="352">
        <v>973660.60000000009</v>
      </c>
      <c r="H8" s="352">
        <v>724650.65999999992</v>
      </c>
      <c r="I8" s="352">
        <v>595220.05000000005</v>
      </c>
      <c r="J8" s="352">
        <v>690979.04</v>
      </c>
      <c r="K8" s="352">
        <v>1000984.48</v>
      </c>
      <c r="L8" s="352">
        <v>1010367.19</v>
      </c>
      <c r="M8" s="352">
        <v>824676.04</v>
      </c>
      <c r="N8" s="352">
        <v>624501.98</v>
      </c>
      <c r="O8" s="352">
        <f t="shared" si="0"/>
        <v>9576941.6499999985</v>
      </c>
    </row>
    <row r="9" spans="1:15">
      <c r="A9" s="345" t="s">
        <v>211</v>
      </c>
      <c r="B9" s="346">
        <v>21000</v>
      </c>
      <c r="C9" s="352">
        <v>880.45</v>
      </c>
      <c r="D9" s="352">
        <v>1128.6600000000001</v>
      </c>
      <c r="E9" s="352">
        <v>1723.6100000000001</v>
      </c>
      <c r="F9" s="352">
        <v>1763.04</v>
      </c>
      <c r="G9" s="352">
        <v>1766.26</v>
      </c>
      <c r="H9" s="352">
        <v>1304.57</v>
      </c>
      <c r="I9" s="352">
        <v>1062.5</v>
      </c>
      <c r="J9" s="352">
        <v>1369.09</v>
      </c>
      <c r="K9" s="352">
        <v>1771.72</v>
      </c>
      <c r="L9" s="352">
        <v>1776.97</v>
      </c>
      <c r="M9" s="352">
        <v>1533.0900000000001</v>
      </c>
      <c r="N9" s="352">
        <v>1111.95</v>
      </c>
      <c r="O9" s="352">
        <f t="shared" si="0"/>
        <v>17191.91</v>
      </c>
    </row>
    <row r="10" spans="1:15">
      <c r="A10" s="345" t="s">
        <v>217</v>
      </c>
      <c r="B10" s="346">
        <v>24000</v>
      </c>
      <c r="C10" s="352">
        <v>84.32</v>
      </c>
      <c r="D10" s="352">
        <v>148.14000000000001</v>
      </c>
      <c r="E10" s="352">
        <v>60.49</v>
      </c>
      <c r="F10" s="352">
        <v>42.78</v>
      </c>
      <c r="G10" s="352">
        <v>81.37</v>
      </c>
      <c r="H10" s="352">
        <v>68.91</v>
      </c>
      <c r="I10" s="352">
        <v>115.49000000000001</v>
      </c>
      <c r="J10" s="352">
        <v>113.87</v>
      </c>
      <c r="K10" s="352">
        <v>190.06</v>
      </c>
      <c r="L10" s="352">
        <v>165.66</v>
      </c>
      <c r="M10" s="352">
        <v>155.52000000000001</v>
      </c>
      <c r="N10" s="352">
        <v>87.78</v>
      </c>
      <c r="O10" s="352">
        <f t="shared" si="0"/>
        <v>1314.39</v>
      </c>
    </row>
    <row r="11" spans="1:15">
      <c r="A11" s="345" t="s">
        <v>221</v>
      </c>
      <c r="B11" s="346">
        <v>25000</v>
      </c>
      <c r="C11" s="352">
        <v>34296.76</v>
      </c>
      <c r="D11" s="352">
        <v>43058.47</v>
      </c>
      <c r="E11" s="352">
        <v>55683.119999999995</v>
      </c>
      <c r="F11" s="352">
        <v>56866.600000000006</v>
      </c>
      <c r="G11" s="352">
        <v>58628.31</v>
      </c>
      <c r="H11" s="352">
        <v>52338.020000000004</v>
      </c>
      <c r="I11" s="352">
        <v>41568.730000000003</v>
      </c>
      <c r="J11" s="352">
        <v>53986.51</v>
      </c>
      <c r="K11" s="352">
        <v>69976.81</v>
      </c>
      <c r="L11" s="352">
        <v>71488.039999999994</v>
      </c>
      <c r="M11" s="352">
        <v>56868.44</v>
      </c>
      <c r="N11" s="352">
        <v>45252.530000000006</v>
      </c>
      <c r="O11" s="352">
        <f t="shared" si="0"/>
        <v>640012.34000000008</v>
      </c>
    </row>
    <row r="12" spans="1:15">
      <c r="A12" s="345" t="s">
        <v>231</v>
      </c>
      <c r="B12" s="346">
        <v>27000</v>
      </c>
      <c r="C12" s="352">
        <v>17932.96</v>
      </c>
      <c r="D12" s="352">
        <v>16447.79</v>
      </c>
      <c r="E12" s="352">
        <v>20833.150000000001</v>
      </c>
      <c r="F12" s="352">
        <v>19485.25</v>
      </c>
      <c r="G12" s="352">
        <v>28337.360000000001</v>
      </c>
      <c r="H12" s="352">
        <v>22774.29</v>
      </c>
      <c r="I12" s="352">
        <v>22919.230000000003</v>
      </c>
      <c r="J12" s="352">
        <v>25500.63</v>
      </c>
      <c r="K12" s="352">
        <v>28361.34</v>
      </c>
      <c r="L12" s="352">
        <v>28309.35</v>
      </c>
      <c r="M12" s="352">
        <v>24959.71</v>
      </c>
      <c r="N12" s="352">
        <v>24809.919999999998</v>
      </c>
      <c r="O12" s="352">
        <f t="shared" si="0"/>
        <v>280670.98</v>
      </c>
    </row>
    <row r="13" spans="1:15">
      <c r="A13" s="345" t="s">
        <v>243</v>
      </c>
      <c r="B13" s="346">
        <v>29000</v>
      </c>
      <c r="C13" s="352">
        <v>15992.85</v>
      </c>
      <c r="D13" s="352">
        <v>17842.93</v>
      </c>
      <c r="E13" s="352">
        <v>24242.489999999998</v>
      </c>
      <c r="F13" s="352">
        <v>25750.820000000003</v>
      </c>
      <c r="G13" s="352">
        <v>26229.600000000002</v>
      </c>
      <c r="H13" s="352">
        <v>21131.550000000003</v>
      </c>
      <c r="I13" s="352">
        <v>20432.38</v>
      </c>
      <c r="J13" s="352">
        <v>23477.27</v>
      </c>
      <c r="K13" s="352">
        <v>30917.66</v>
      </c>
      <c r="L13" s="352">
        <v>28804.21</v>
      </c>
      <c r="M13" s="352">
        <v>25327.410000000003</v>
      </c>
      <c r="N13" s="352">
        <v>20284</v>
      </c>
      <c r="O13" s="352">
        <f t="shared" si="0"/>
        <v>280433.17</v>
      </c>
    </row>
    <row r="14" spans="1:15" ht="15" thickBot="1">
      <c r="A14" s="345" t="s">
        <v>312</v>
      </c>
      <c r="B14" s="357" t="s">
        <v>313</v>
      </c>
      <c r="C14" s="358">
        <v>575713.59999999986</v>
      </c>
      <c r="D14" s="358">
        <v>740577.56</v>
      </c>
      <c r="E14" s="358">
        <v>1126662.69</v>
      </c>
      <c r="F14" s="358">
        <v>1152418.0800000003</v>
      </c>
      <c r="G14" s="358">
        <v>1124953.1900000002</v>
      </c>
      <c r="H14" s="358">
        <v>853553.6</v>
      </c>
      <c r="I14" s="358">
        <v>707539.97</v>
      </c>
      <c r="J14" s="358">
        <v>840674.32000000007</v>
      </c>
      <c r="K14" s="358">
        <v>1179660.0000000002</v>
      </c>
      <c r="L14" s="358">
        <v>1183276.49</v>
      </c>
      <c r="M14" s="358">
        <v>972438.44000000006</v>
      </c>
      <c r="N14" s="358">
        <v>740216.26</v>
      </c>
      <c r="O14" s="352">
        <f t="shared" si="0"/>
        <v>11197684.199999999</v>
      </c>
    </row>
    <row r="15" spans="1:15" ht="15" thickTop="1">
      <c r="A15" s="345" t="s">
        <v>312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</row>
    <row r="16" spans="1:15">
      <c r="A16" s="345" t="s">
        <v>312</v>
      </c>
      <c r="B16" s="345" t="s">
        <v>314</v>
      </c>
      <c r="C16" s="352">
        <f t="shared" ref="C16:N16" si="1">C14</f>
        <v>575713.59999999986</v>
      </c>
      <c r="D16" s="352">
        <f t="shared" si="1"/>
        <v>740577.56</v>
      </c>
      <c r="E16" s="352">
        <f t="shared" si="1"/>
        <v>1126662.69</v>
      </c>
      <c r="F16" s="352">
        <f t="shared" si="1"/>
        <v>1152418.0800000003</v>
      </c>
      <c r="G16" s="352">
        <f t="shared" si="1"/>
        <v>1124953.1900000002</v>
      </c>
      <c r="H16" s="352">
        <f t="shared" si="1"/>
        <v>853553.6</v>
      </c>
      <c r="I16" s="352">
        <f t="shared" si="1"/>
        <v>707539.97</v>
      </c>
      <c r="J16" s="352">
        <f t="shared" si="1"/>
        <v>840674.32000000007</v>
      </c>
      <c r="K16" s="352">
        <f t="shared" si="1"/>
        <v>1179660.0000000002</v>
      </c>
      <c r="L16" s="352">
        <f t="shared" si="1"/>
        <v>1183276.49</v>
      </c>
      <c r="M16" s="352">
        <f t="shared" si="1"/>
        <v>972438.44000000006</v>
      </c>
      <c r="N16" s="352">
        <f t="shared" si="1"/>
        <v>740216.26</v>
      </c>
    </row>
    <row r="17" spans="1:14">
      <c r="A17" s="345" t="s">
        <v>312</v>
      </c>
      <c r="B17" s="345" t="s">
        <v>315</v>
      </c>
      <c r="C17" s="352">
        <f>'CR 2009'!C16</f>
        <v>561446.71999999986</v>
      </c>
      <c r="D17" s="352">
        <f>'CR 2009'!D16</f>
        <v>656712.19000000006</v>
      </c>
      <c r="E17" s="352">
        <f>'CR 2009'!E16</f>
        <v>1007691.7600000002</v>
      </c>
      <c r="F17" s="352">
        <f>'CR 2009'!F16</f>
        <v>1099978.3500000001</v>
      </c>
      <c r="G17" s="352">
        <f>'CR 2009'!G16</f>
        <v>1028531.28</v>
      </c>
      <c r="H17" s="352">
        <f>'CR 2009'!H16</f>
        <v>732855.76</v>
      </c>
      <c r="I17" s="352">
        <f>'CR 2009'!I16</f>
        <v>494896.07000000007</v>
      </c>
      <c r="J17" s="352">
        <f>'CR 2009'!J16</f>
        <v>965024.58000000019</v>
      </c>
      <c r="K17" s="352">
        <f>'CR 2009'!K16</f>
        <v>1031015.0800000001</v>
      </c>
      <c r="L17" s="352">
        <f>'CR 2009'!L16</f>
        <v>1120585.3600000001</v>
      </c>
      <c r="M17" s="352">
        <f>'CR 2009'!M16</f>
        <v>1082153.74</v>
      </c>
      <c r="N17" s="352">
        <f>'CR 2009'!N16</f>
        <v>728671.42000000016</v>
      </c>
    </row>
    <row r="18" spans="1:14">
      <c r="A18" s="345" t="s">
        <v>312</v>
      </c>
      <c r="B18" s="345" t="s">
        <v>265</v>
      </c>
      <c r="C18" s="353">
        <f t="shared" ref="C18:N18" si="2">(C16/C17)-1</f>
        <v>2.5410924121170408E-2</v>
      </c>
      <c r="D18" s="353">
        <f t="shared" si="2"/>
        <v>0.12770490829475856</v>
      </c>
      <c r="E18" s="353">
        <f t="shared" si="2"/>
        <v>0.1180628191303259</v>
      </c>
      <c r="F18" s="353">
        <f t="shared" si="2"/>
        <v>4.7673420117768872E-2</v>
      </c>
      <c r="G18" s="353">
        <f t="shared" si="2"/>
        <v>9.3747182876149582E-2</v>
      </c>
      <c r="H18" s="353">
        <f t="shared" si="2"/>
        <v>0.16469521915199237</v>
      </c>
      <c r="I18" s="353">
        <f t="shared" si="2"/>
        <v>0.42967385051168394</v>
      </c>
      <c r="J18" s="353">
        <f t="shared" si="2"/>
        <v>-0.12885709087327091</v>
      </c>
      <c r="K18" s="353">
        <f t="shared" si="2"/>
        <v>0.14417337135359864</v>
      </c>
      <c r="L18" s="353">
        <f t="shared" si="2"/>
        <v>5.5944983968021722E-2</v>
      </c>
      <c r="M18" s="353">
        <f t="shared" si="2"/>
        <v>-0.10138605629177966</v>
      </c>
      <c r="N18" s="353">
        <f t="shared" si="2"/>
        <v>1.5843684386578349E-2</v>
      </c>
    </row>
    <row r="20" spans="1:14">
      <c r="A20" s="359" t="s">
        <v>316</v>
      </c>
      <c r="B20" s="359" t="s">
        <v>317</v>
      </c>
      <c r="C20" s="360" t="s">
        <v>318</v>
      </c>
      <c r="D20" s="360" t="s">
        <v>319</v>
      </c>
    </row>
    <row r="21" spans="1:14">
      <c r="A21" s="345" t="s">
        <v>165</v>
      </c>
      <c r="B21" s="361" t="s">
        <v>320</v>
      </c>
      <c r="C21" s="362">
        <v>0.03</v>
      </c>
      <c r="D21" s="362">
        <v>0.04</v>
      </c>
    </row>
    <row r="22" spans="1:14">
      <c r="A22" s="345" t="s">
        <v>173</v>
      </c>
      <c r="B22" s="361" t="s">
        <v>321</v>
      </c>
      <c r="C22" s="362">
        <v>0.03</v>
      </c>
      <c r="D22" s="362"/>
    </row>
    <row r="23" spans="1:14">
      <c r="A23" s="345" t="s">
        <v>179</v>
      </c>
      <c r="B23" s="361" t="s">
        <v>322</v>
      </c>
      <c r="C23" s="362">
        <v>0.03</v>
      </c>
      <c r="D23" s="362"/>
    </row>
    <row r="24" spans="1:14">
      <c r="A24" s="345" t="s">
        <v>192</v>
      </c>
      <c r="B24" s="361" t="s">
        <v>323</v>
      </c>
      <c r="C24" s="362">
        <v>0.03</v>
      </c>
      <c r="D24" s="362">
        <v>0.04</v>
      </c>
    </row>
    <row r="25" spans="1:14">
      <c r="A25" s="345" t="s">
        <v>195</v>
      </c>
      <c r="B25" s="361" t="s">
        <v>324</v>
      </c>
      <c r="C25" s="362">
        <v>0.03</v>
      </c>
      <c r="D25" s="362">
        <v>0.04</v>
      </c>
    </row>
    <row r="26" spans="1:14">
      <c r="A26" s="345" t="s">
        <v>211</v>
      </c>
      <c r="B26" s="361" t="s">
        <v>325</v>
      </c>
      <c r="C26" s="362">
        <v>0.03</v>
      </c>
      <c r="D26" s="362">
        <v>0.04</v>
      </c>
    </row>
    <row r="27" spans="1:14">
      <c r="A27" s="345" t="s">
        <v>217</v>
      </c>
      <c r="B27" s="361" t="s">
        <v>326</v>
      </c>
      <c r="C27" s="362">
        <v>0.03</v>
      </c>
      <c r="D27" s="362"/>
    </row>
    <row r="28" spans="1:14">
      <c r="A28" s="345" t="s">
        <v>221</v>
      </c>
      <c r="B28" s="361" t="s">
        <v>327</v>
      </c>
      <c r="C28" s="362">
        <v>0.03</v>
      </c>
      <c r="D28" s="362">
        <v>0.04</v>
      </c>
    </row>
    <row r="29" spans="1:14">
      <c r="A29" s="345" t="s">
        <v>231</v>
      </c>
      <c r="B29" s="361" t="s">
        <v>328</v>
      </c>
      <c r="C29" s="362">
        <v>0.03</v>
      </c>
      <c r="D29" s="362">
        <v>0.04</v>
      </c>
    </row>
    <row r="30" spans="1:14">
      <c r="A30" s="345" t="s">
        <v>243</v>
      </c>
      <c r="B30" s="361" t="s">
        <v>329</v>
      </c>
      <c r="C30" s="362">
        <v>0.03</v>
      </c>
      <c r="D30" s="362">
        <v>0.04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>
    <tabColor rgb="FFFF0000"/>
  </sheetPr>
  <dimension ref="A1:O30"/>
  <sheetViews>
    <sheetView workbookViewId="0">
      <selection activeCell="J18" sqref="J18"/>
    </sheetView>
  </sheetViews>
  <sheetFormatPr baseColWidth="10" defaultColWidth="9.1640625" defaultRowHeight="14" x14ac:dyDescent="0"/>
  <cols>
    <col min="1" max="2" width="9.1640625" style="345"/>
    <col min="3" max="4" width="9.83203125" style="345" bestFit="1" customWidth="1"/>
    <col min="5" max="7" width="11.33203125" style="345" bestFit="1" customWidth="1"/>
    <col min="8" max="10" width="9.83203125" style="345" bestFit="1" customWidth="1"/>
    <col min="11" max="13" width="11.33203125" style="345" bestFit="1" customWidth="1"/>
    <col min="14" max="14" width="9.83203125" style="345" bestFit="1" customWidth="1"/>
    <col min="15" max="15" width="12.33203125" style="345" bestFit="1" customWidth="1"/>
    <col min="16" max="16384" width="9.1640625" style="345"/>
  </cols>
  <sheetData>
    <row r="1" spans="1:15" ht="45">
      <c r="A1" s="343" t="s">
        <v>309</v>
      </c>
      <c r="B1" s="344"/>
    </row>
    <row r="2" spans="1:15">
      <c r="B2" s="346"/>
    </row>
    <row r="3" spans="1:15">
      <c r="A3" s="354" t="s">
        <v>310</v>
      </c>
      <c r="B3" s="355" t="s">
        <v>311</v>
      </c>
      <c r="C3" s="356">
        <v>39814</v>
      </c>
      <c r="D3" s="356">
        <v>39845</v>
      </c>
      <c r="E3" s="356">
        <v>39873</v>
      </c>
      <c r="F3" s="356">
        <v>39904</v>
      </c>
      <c r="G3" s="356">
        <v>39934</v>
      </c>
      <c r="H3" s="356">
        <v>39965</v>
      </c>
      <c r="I3" s="356">
        <v>39995</v>
      </c>
      <c r="J3" s="356">
        <v>40026</v>
      </c>
      <c r="K3" s="356">
        <v>40057</v>
      </c>
      <c r="L3" s="356">
        <v>40087</v>
      </c>
      <c r="M3" s="356">
        <v>40118</v>
      </c>
      <c r="N3" s="356">
        <v>40148</v>
      </c>
      <c r="O3" s="348" t="s">
        <v>54</v>
      </c>
    </row>
    <row r="4" spans="1:15">
      <c r="A4" s="345" t="s">
        <v>165</v>
      </c>
      <c r="B4" s="346">
        <v>6000</v>
      </c>
      <c r="C4" s="352">
        <v>22840.11</v>
      </c>
      <c r="D4" s="352">
        <v>24837.469999999998</v>
      </c>
      <c r="E4" s="352">
        <v>25110.98</v>
      </c>
      <c r="F4" s="352">
        <v>34139.699999999997</v>
      </c>
      <c r="G4" s="352">
        <v>29622.210000000003</v>
      </c>
      <c r="H4" s="352">
        <v>24380.949999999997</v>
      </c>
      <c r="I4" s="352">
        <v>23764.09</v>
      </c>
      <c r="J4" s="352">
        <v>29674.030000000002</v>
      </c>
      <c r="K4" s="352">
        <v>47347.67</v>
      </c>
      <c r="L4" s="352">
        <v>38713.360000000001</v>
      </c>
      <c r="M4" s="352">
        <v>36146.230000000003</v>
      </c>
      <c r="N4" s="352">
        <v>22795.59</v>
      </c>
      <c r="O4" s="352">
        <f t="shared" ref="O4:O14" si="0">SUM(C4:N4)</f>
        <v>359372.38999999996</v>
      </c>
    </row>
    <row r="5" spans="1:15">
      <c r="A5" s="345" t="s">
        <v>173</v>
      </c>
      <c r="B5" s="346">
        <v>7000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>
        <v>53.13</v>
      </c>
      <c r="N5" s="352"/>
      <c r="O5" s="352">
        <f t="shared" si="0"/>
        <v>53.13</v>
      </c>
    </row>
    <row r="6" spans="1:15">
      <c r="A6" s="345" t="s">
        <v>179</v>
      </c>
      <c r="B6" s="346">
        <v>10000</v>
      </c>
      <c r="C6" s="352">
        <v>2203.48</v>
      </c>
      <c r="D6" s="352">
        <v>1429.33</v>
      </c>
      <c r="E6" s="352">
        <v>915.75</v>
      </c>
      <c r="F6" s="352">
        <v>354.54</v>
      </c>
      <c r="G6" s="352">
        <v>2570.59</v>
      </c>
      <c r="H6" s="352">
        <v>1111.06</v>
      </c>
      <c r="I6" s="352">
        <v>1424.55</v>
      </c>
      <c r="J6" s="352">
        <v>7464.51</v>
      </c>
      <c r="K6" s="352">
        <v>4.76</v>
      </c>
      <c r="L6" s="352">
        <v>484.45</v>
      </c>
      <c r="M6" s="352">
        <v>6096.88</v>
      </c>
      <c r="N6" s="352"/>
      <c r="O6" s="352">
        <f t="shared" si="0"/>
        <v>24059.899999999998</v>
      </c>
    </row>
    <row r="7" spans="1:15">
      <c r="A7" s="345" t="s">
        <v>192</v>
      </c>
      <c r="B7" s="346">
        <v>15000</v>
      </c>
      <c r="C7" s="352">
        <v>368.03000000000003</v>
      </c>
      <c r="D7" s="352">
        <v>431.12</v>
      </c>
      <c r="E7" s="352">
        <v>662.58</v>
      </c>
      <c r="F7" s="352">
        <v>723.69</v>
      </c>
      <c r="G7" s="352">
        <v>675.29</v>
      </c>
      <c r="H7" s="352">
        <v>481.64</v>
      </c>
      <c r="I7" s="352">
        <v>327.01</v>
      </c>
      <c r="J7" s="352">
        <v>634.49</v>
      </c>
      <c r="K7" s="352">
        <v>683.13</v>
      </c>
      <c r="L7" s="352">
        <v>742.17</v>
      </c>
      <c r="M7" s="352">
        <v>712.99</v>
      </c>
      <c r="N7" s="352">
        <v>482.87</v>
      </c>
      <c r="O7" s="352">
        <f t="shared" si="0"/>
        <v>6925.0099999999993</v>
      </c>
    </row>
    <row r="8" spans="1:15">
      <c r="A8" s="345" t="s">
        <v>195</v>
      </c>
      <c r="B8" s="346">
        <v>18000</v>
      </c>
      <c r="C8" s="352">
        <v>458418.24</v>
      </c>
      <c r="D8" s="352">
        <v>555539.86</v>
      </c>
      <c r="E8" s="352">
        <v>896608.33000000007</v>
      </c>
      <c r="F8" s="352">
        <v>953271.91</v>
      </c>
      <c r="G8" s="352">
        <v>894721.4</v>
      </c>
      <c r="H8" s="352">
        <v>623025.85000000009</v>
      </c>
      <c r="I8" s="352">
        <v>410669.51</v>
      </c>
      <c r="J8" s="352">
        <v>815263.85000000009</v>
      </c>
      <c r="K8" s="352">
        <v>867330.56000000006</v>
      </c>
      <c r="L8" s="352">
        <v>959555.26</v>
      </c>
      <c r="M8" s="352">
        <v>924993.76</v>
      </c>
      <c r="N8" s="352">
        <v>623327.58000000007</v>
      </c>
      <c r="O8" s="352">
        <f t="shared" si="0"/>
        <v>8982726.1099999994</v>
      </c>
    </row>
    <row r="9" spans="1:15">
      <c r="A9" s="345" t="s">
        <v>211</v>
      </c>
      <c r="B9" s="346">
        <v>21000</v>
      </c>
      <c r="C9" s="352">
        <v>892.7</v>
      </c>
      <c r="D9" s="352">
        <v>1029.51</v>
      </c>
      <c r="E9" s="352">
        <v>1600.67</v>
      </c>
      <c r="F9" s="352">
        <v>1736.53</v>
      </c>
      <c r="G9" s="352">
        <v>1601.18</v>
      </c>
      <c r="H9" s="352">
        <v>1150.44</v>
      </c>
      <c r="I9" s="352">
        <v>774.27</v>
      </c>
      <c r="J9" s="352">
        <v>1551.31</v>
      </c>
      <c r="K9" s="352">
        <v>1577.13</v>
      </c>
      <c r="L9" s="352">
        <v>1713.45</v>
      </c>
      <c r="M9" s="352">
        <v>1745.44</v>
      </c>
      <c r="N9" s="352">
        <v>1114.78</v>
      </c>
      <c r="O9" s="352">
        <f t="shared" si="0"/>
        <v>16487.410000000003</v>
      </c>
    </row>
    <row r="10" spans="1:15">
      <c r="A10" s="345" t="s">
        <v>217</v>
      </c>
      <c r="B10" s="346">
        <v>24000</v>
      </c>
      <c r="C10" s="352">
        <v>104.48</v>
      </c>
      <c r="D10" s="352">
        <v>284.22000000000003</v>
      </c>
      <c r="E10" s="352">
        <v>125.77</v>
      </c>
      <c r="F10" s="352">
        <v>127.5</v>
      </c>
      <c r="G10" s="352"/>
      <c r="H10" s="352"/>
      <c r="I10" s="352"/>
      <c r="J10" s="352">
        <v>102.53</v>
      </c>
      <c r="K10" s="352">
        <v>154.42000000000002</v>
      </c>
      <c r="L10" s="352">
        <v>140.27000000000001</v>
      </c>
      <c r="M10" s="352">
        <v>84.74</v>
      </c>
      <c r="N10" s="352">
        <v>20.900000000000002</v>
      </c>
      <c r="O10" s="352">
        <f t="shared" si="0"/>
        <v>1144.8300000000002</v>
      </c>
    </row>
    <row r="11" spans="1:15">
      <c r="A11" s="345" t="s">
        <v>221</v>
      </c>
      <c r="B11" s="346">
        <v>25000</v>
      </c>
      <c r="C11" s="352">
        <v>41542.629999999997</v>
      </c>
      <c r="D11" s="352">
        <v>40287.65</v>
      </c>
      <c r="E11" s="352">
        <v>45310.390000000007</v>
      </c>
      <c r="F11" s="352">
        <v>59277.72</v>
      </c>
      <c r="G11" s="352">
        <v>53128.58</v>
      </c>
      <c r="H11" s="352">
        <v>43354.13</v>
      </c>
      <c r="I11" s="352">
        <v>29972.33</v>
      </c>
      <c r="J11" s="352">
        <v>56441.659999999996</v>
      </c>
      <c r="K11" s="352">
        <v>62029.380000000005</v>
      </c>
      <c r="L11" s="352">
        <v>64907.32</v>
      </c>
      <c r="M11" s="352">
        <v>65371.83</v>
      </c>
      <c r="N11" s="352">
        <v>43429.3</v>
      </c>
      <c r="O11" s="352">
        <f t="shared" si="0"/>
        <v>605052.92000000004</v>
      </c>
    </row>
    <row r="12" spans="1:15">
      <c r="A12" s="345" t="s">
        <v>231</v>
      </c>
      <c r="B12" s="346">
        <v>27000</v>
      </c>
      <c r="C12" s="352">
        <v>15412.349999999999</v>
      </c>
      <c r="D12" s="352">
        <v>15013</v>
      </c>
      <c r="E12" s="352">
        <v>17992.89</v>
      </c>
      <c r="F12" s="352">
        <v>22217.010000000002</v>
      </c>
      <c r="G12" s="352">
        <v>22539.61</v>
      </c>
      <c r="H12" s="352">
        <v>19660</v>
      </c>
      <c r="I12" s="352">
        <v>12565.880000000001</v>
      </c>
      <c r="J12" s="352">
        <v>28626.11</v>
      </c>
      <c r="K12" s="352">
        <v>25887.7</v>
      </c>
      <c r="L12" s="352">
        <v>24836.12</v>
      </c>
      <c r="M12" s="352">
        <v>22495.16</v>
      </c>
      <c r="N12" s="352">
        <v>19621.099999999999</v>
      </c>
      <c r="O12" s="352">
        <f t="shared" si="0"/>
        <v>246866.93000000002</v>
      </c>
    </row>
    <row r="13" spans="1:15">
      <c r="A13" s="345" t="s">
        <v>243</v>
      </c>
      <c r="B13" s="346">
        <v>29000</v>
      </c>
      <c r="C13" s="352">
        <v>19664.7</v>
      </c>
      <c r="D13" s="352">
        <v>17860.03</v>
      </c>
      <c r="E13" s="352">
        <v>19364.400000000001</v>
      </c>
      <c r="F13" s="352">
        <v>28129.75</v>
      </c>
      <c r="G13" s="352">
        <v>23672.420000000002</v>
      </c>
      <c r="H13" s="352">
        <v>19691.689999999999</v>
      </c>
      <c r="I13" s="352">
        <v>15398.43</v>
      </c>
      <c r="J13" s="352">
        <v>25266.089999999997</v>
      </c>
      <c r="K13" s="352">
        <v>26000.33</v>
      </c>
      <c r="L13" s="352">
        <v>29492.959999999999</v>
      </c>
      <c r="M13" s="352">
        <v>24453.58</v>
      </c>
      <c r="N13" s="352">
        <v>17879.3</v>
      </c>
      <c r="O13" s="352">
        <f t="shared" si="0"/>
        <v>266873.68</v>
      </c>
    </row>
    <row r="14" spans="1:15" ht="15" thickBot="1">
      <c r="A14" s="345" t="s">
        <v>312</v>
      </c>
      <c r="B14" s="357" t="s">
        <v>313</v>
      </c>
      <c r="C14" s="358">
        <v>561446.71999999986</v>
      </c>
      <c r="D14" s="358">
        <v>656712.19000000006</v>
      </c>
      <c r="E14" s="358">
        <v>1007691.7600000002</v>
      </c>
      <c r="F14" s="358">
        <v>1099978.3500000001</v>
      </c>
      <c r="G14" s="358">
        <v>1028531.28</v>
      </c>
      <c r="H14" s="358">
        <v>732855.76</v>
      </c>
      <c r="I14" s="358">
        <v>494896.07000000007</v>
      </c>
      <c r="J14" s="358">
        <v>965024.58000000019</v>
      </c>
      <c r="K14" s="358">
        <v>1031015.0800000001</v>
      </c>
      <c r="L14" s="358">
        <v>1120585.3600000001</v>
      </c>
      <c r="M14" s="358">
        <v>1082153.74</v>
      </c>
      <c r="N14" s="358">
        <v>728671.42000000016</v>
      </c>
      <c r="O14" s="352">
        <f t="shared" si="0"/>
        <v>10509562.310000001</v>
      </c>
    </row>
    <row r="15" spans="1:15" ht="15" thickTop="1">
      <c r="A15" s="345" t="s">
        <v>312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</row>
    <row r="16" spans="1:15">
      <c r="A16" s="345" t="s">
        <v>312</v>
      </c>
      <c r="B16" s="345" t="s">
        <v>314</v>
      </c>
      <c r="C16" s="352">
        <f t="shared" ref="C16:N16" si="1">C14</f>
        <v>561446.71999999986</v>
      </c>
      <c r="D16" s="352">
        <f t="shared" si="1"/>
        <v>656712.19000000006</v>
      </c>
      <c r="E16" s="352">
        <f t="shared" si="1"/>
        <v>1007691.7600000002</v>
      </c>
      <c r="F16" s="352">
        <f t="shared" si="1"/>
        <v>1099978.3500000001</v>
      </c>
      <c r="G16" s="352">
        <f t="shared" si="1"/>
        <v>1028531.28</v>
      </c>
      <c r="H16" s="352">
        <f t="shared" si="1"/>
        <v>732855.76</v>
      </c>
      <c r="I16" s="352">
        <f t="shared" si="1"/>
        <v>494896.07000000007</v>
      </c>
      <c r="J16" s="352">
        <f t="shared" si="1"/>
        <v>965024.58000000019</v>
      </c>
      <c r="K16" s="352">
        <f t="shared" si="1"/>
        <v>1031015.0800000001</v>
      </c>
      <c r="L16" s="352">
        <f t="shared" si="1"/>
        <v>1120585.3600000001</v>
      </c>
      <c r="M16" s="352">
        <f t="shared" si="1"/>
        <v>1082153.74</v>
      </c>
      <c r="N16" s="352">
        <f t="shared" si="1"/>
        <v>728671.42000000016</v>
      </c>
    </row>
    <row r="17" spans="1:14">
      <c r="A17" s="345" t="s">
        <v>312</v>
      </c>
      <c r="B17" s="345" t="s">
        <v>315</v>
      </c>
      <c r="C17" s="352">
        <f>'CR 2008'!C16</f>
        <v>600952.1399999999</v>
      </c>
      <c r="D17" s="352">
        <f>'CR 2008'!D16</f>
        <v>945765.84</v>
      </c>
      <c r="E17" s="352">
        <f>'CR 2008'!E16</f>
        <v>1381084.9800000002</v>
      </c>
      <c r="F17" s="352">
        <f>'CR 2008'!F16</f>
        <v>1281207.4499999997</v>
      </c>
      <c r="G17" s="352">
        <f>'CR 2008'!G16</f>
        <v>1384778.53</v>
      </c>
      <c r="H17" s="352">
        <f>'CR 2008'!H16</f>
        <v>859866.63</v>
      </c>
      <c r="I17" s="352">
        <f>'CR 2008'!I16</f>
        <v>724447.66</v>
      </c>
      <c r="J17" s="352">
        <f>'CR 2008'!J16</f>
        <v>881189.34999999974</v>
      </c>
      <c r="K17" s="352">
        <f>'CR 2008'!K16</f>
        <v>851196.15999999992</v>
      </c>
      <c r="L17" s="352">
        <f>'CR 2008'!L16</f>
        <v>1136714.5499999998</v>
      </c>
      <c r="M17" s="352">
        <f>'CR 2008'!M16</f>
        <v>1102729.25</v>
      </c>
      <c r="N17" s="352">
        <f>'CR 2008'!N16</f>
        <v>594724.53000000014</v>
      </c>
    </row>
    <row r="18" spans="1:14">
      <c r="A18" s="345" t="s">
        <v>312</v>
      </c>
      <c r="B18" s="345" t="s">
        <v>265</v>
      </c>
      <c r="C18" s="353">
        <f t="shared" ref="C18:N18" si="2">(C16/C17)-1</f>
        <v>-6.5738046959946006E-2</v>
      </c>
      <c r="D18" s="353">
        <f t="shared" si="2"/>
        <v>-0.30562919252824772</v>
      </c>
      <c r="E18" s="353">
        <f t="shared" si="2"/>
        <v>-0.27036223361143197</v>
      </c>
      <c r="F18" s="353">
        <f t="shared" si="2"/>
        <v>-0.14145180001880231</v>
      </c>
      <c r="G18" s="353">
        <f t="shared" si="2"/>
        <v>-0.25725936839878649</v>
      </c>
      <c r="H18" s="353">
        <f t="shared" si="2"/>
        <v>-0.14770996520704616</v>
      </c>
      <c r="I18" s="353">
        <f t="shared" si="2"/>
        <v>-0.31686428526803434</v>
      </c>
      <c r="J18" s="353">
        <f t="shared" si="2"/>
        <v>9.5138723589885066E-2</v>
      </c>
      <c r="K18" s="353">
        <f t="shared" si="2"/>
        <v>0.21125438347842196</v>
      </c>
      <c r="L18" s="353">
        <f t="shared" si="2"/>
        <v>-1.4189305485708514E-2</v>
      </c>
      <c r="M18" s="353">
        <f t="shared" si="2"/>
        <v>-1.8658714276419186E-2</v>
      </c>
      <c r="N18" s="353">
        <f t="shared" si="2"/>
        <v>0.22522509707141225</v>
      </c>
    </row>
    <row r="20" spans="1:14">
      <c r="A20" s="359" t="s">
        <v>316</v>
      </c>
      <c r="B20" s="359" t="s">
        <v>317</v>
      </c>
      <c r="C20" s="360" t="s">
        <v>318</v>
      </c>
      <c r="D20" s="360" t="s">
        <v>319</v>
      </c>
    </row>
    <row r="21" spans="1:14">
      <c r="A21" s="345" t="s">
        <v>165</v>
      </c>
      <c r="B21" s="361" t="s">
        <v>320</v>
      </c>
      <c r="C21" s="362">
        <v>0.03</v>
      </c>
      <c r="D21" s="362">
        <v>0.04</v>
      </c>
    </row>
    <row r="22" spans="1:14">
      <c r="A22" s="345" t="s">
        <v>173</v>
      </c>
      <c r="B22" s="361" t="s">
        <v>321</v>
      </c>
      <c r="C22" s="362">
        <v>0.03</v>
      </c>
      <c r="D22" s="362"/>
    </row>
    <row r="23" spans="1:14">
      <c r="A23" s="345" t="s">
        <v>179</v>
      </c>
      <c r="B23" s="361" t="s">
        <v>322</v>
      </c>
      <c r="C23" s="362">
        <v>0.03</v>
      </c>
      <c r="D23" s="362"/>
    </row>
    <row r="24" spans="1:14">
      <c r="A24" s="345" t="s">
        <v>192</v>
      </c>
      <c r="B24" s="361" t="s">
        <v>323</v>
      </c>
      <c r="C24" s="362">
        <v>0.03</v>
      </c>
      <c r="D24" s="362">
        <v>0.04</v>
      </c>
    </row>
    <row r="25" spans="1:14">
      <c r="A25" s="345" t="s">
        <v>195</v>
      </c>
      <c r="B25" s="361" t="s">
        <v>324</v>
      </c>
      <c r="C25" s="362">
        <v>0.03</v>
      </c>
      <c r="D25" s="362">
        <v>0.04</v>
      </c>
    </row>
    <row r="26" spans="1:14">
      <c r="A26" s="345" t="s">
        <v>211</v>
      </c>
      <c r="B26" s="361" t="s">
        <v>325</v>
      </c>
      <c r="C26" s="362">
        <v>0.03</v>
      </c>
      <c r="D26" s="362">
        <v>0.04</v>
      </c>
    </row>
    <row r="27" spans="1:14">
      <c r="A27" s="345" t="s">
        <v>217</v>
      </c>
      <c r="B27" s="361" t="s">
        <v>326</v>
      </c>
      <c r="C27" s="362">
        <v>0.03</v>
      </c>
      <c r="D27" s="362"/>
    </row>
    <row r="28" spans="1:14">
      <c r="A28" s="345" t="s">
        <v>221</v>
      </c>
      <c r="B28" s="361" t="s">
        <v>327</v>
      </c>
      <c r="C28" s="362">
        <v>0.03</v>
      </c>
      <c r="D28" s="362">
        <v>0.04</v>
      </c>
    </row>
    <row r="29" spans="1:14">
      <c r="A29" s="345" t="s">
        <v>231</v>
      </c>
      <c r="B29" s="361" t="s">
        <v>328</v>
      </c>
      <c r="C29" s="362">
        <v>0.03</v>
      </c>
      <c r="D29" s="362">
        <v>0.04</v>
      </c>
    </row>
    <row r="30" spans="1:14">
      <c r="A30" s="345" t="s">
        <v>243</v>
      </c>
      <c r="B30" s="361" t="s">
        <v>329</v>
      </c>
      <c r="C30" s="362">
        <v>0.03</v>
      </c>
      <c r="D30" s="362">
        <v>0.04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rgb="FFFF0000"/>
  </sheetPr>
  <dimension ref="A1:O30"/>
  <sheetViews>
    <sheetView workbookViewId="0">
      <selection activeCell="J18" sqref="J18"/>
    </sheetView>
  </sheetViews>
  <sheetFormatPr baseColWidth="10" defaultColWidth="9.1640625" defaultRowHeight="14" x14ac:dyDescent="0"/>
  <cols>
    <col min="1" max="2" width="9.1640625" style="345"/>
    <col min="3" max="4" width="9.83203125" style="345" bestFit="1" customWidth="1"/>
    <col min="5" max="7" width="11.33203125" style="345" bestFit="1" customWidth="1"/>
    <col min="8" max="11" width="9.83203125" style="345" bestFit="1" customWidth="1"/>
    <col min="12" max="13" width="11.33203125" style="345" bestFit="1" customWidth="1"/>
    <col min="14" max="14" width="9.83203125" style="345" bestFit="1" customWidth="1"/>
    <col min="15" max="15" width="12.33203125" style="345" bestFit="1" customWidth="1"/>
    <col min="16" max="16384" width="9.1640625" style="345"/>
  </cols>
  <sheetData>
    <row r="1" spans="1:15" ht="45">
      <c r="A1" s="343" t="s">
        <v>309</v>
      </c>
      <c r="B1" s="344"/>
    </row>
    <row r="2" spans="1:15">
      <c r="B2" s="346"/>
    </row>
    <row r="3" spans="1:15">
      <c r="A3" s="354" t="s">
        <v>310</v>
      </c>
      <c r="B3" s="355" t="s">
        <v>311</v>
      </c>
      <c r="C3" s="356">
        <v>39448</v>
      </c>
      <c r="D3" s="356">
        <v>39479</v>
      </c>
      <c r="E3" s="356">
        <v>39508</v>
      </c>
      <c r="F3" s="356">
        <v>39539</v>
      </c>
      <c r="G3" s="356">
        <v>39569</v>
      </c>
      <c r="H3" s="356">
        <v>39600</v>
      </c>
      <c r="I3" s="356">
        <v>39630</v>
      </c>
      <c r="J3" s="356">
        <v>39661</v>
      </c>
      <c r="K3" s="356">
        <v>39692</v>
      </c>
      <c r="L3" s="356">
        <v>39722</v>
      </c>
      <c r="M3" s="356">
        <v>39753</v>
      </c>
      <c r="N3" s="356">
        <v>39783</v>
      </c>
      <c r="O3" s="348" t="s">
        <v>54</v>
      </c>
    </row>
    <row r="4" spans="1:15">
      <c r="A4" s="345" t="s">
        <v>165</v>
      </c>
      <c r="B4" s="346">
        <v>6000</v>
      </c>
      <c r="C4" s="352">
        <v>22612.53</v>
      </c>
      <c r="D4" s="352">
        <v>28340.92</v>
      </c>
      <c r="E4" s="352">
        <v>40027.85</v>
      </c>
      <c r="F4" s="352">
        <v>34930.959999999999</v>
      </c>
      <c r="G4" s="352">
        <v>42093.450000000004</v>
      </c>
      <c r="H4" s="352">
        <v>28132.05</v>
      </c>
      <c r="I4" s="352">
        <v>27445.38</v>
      </c>
      <c r="J4" s="352">
        <v>41929.72</v>
      </c>
      <c r="K4" s="352">
        <v>31222.170000000002</v>
      </c>
      <c r="L4" s="352">
        <v>42146.559999999998</v>
      </c>
      <c r="M4" s="352">
        <v>43552.5</v>
      </c>
      <c r="N4" s="352">
        <v>17941.490000000002</v>
      </c>
      <c r="O4" s="352">
        <f t="shared" ref="O4:O14" si="0">SUM(C4:N4)</f>
        <v>400375.57999999996</v>
      </c>
    </row>
    <row r="5" spans="1:15">
      <c r="A5" s="345" t="s">
        <v>173</v>
      </c>
      <c r="B5" s="346">
        <v>7000</v>
      </c>
      <c r="C5" s="352"/>
      <c r="D5" s="352">
        <v>0</v>
      </c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>
        <f t="shared" si="0"/>
        <v>0</v>
      </c>
    </row>
    <row r="6" spans="1:15">
      <c r="A6" s="345" t="s">
        <v>179</v>
      </c>
      <c r="B6" s="346">
        <v>10000</v>
      </c>
      <c r="C6" s="352">
        <v>1030.17</v>
      </c>
      <c r="D6" s="352">
        <v>5043.95</v>
      </c>
      <c r="E6" s="352">
        <v>398.68</v>
      </c>
      <c r="F6" s="352">
        <v>422.61</v>
      </c>
      <c r="G6" s="352">
        <v>2963.19</v>
      </c>
      <c r="H6" s="352">
        <v>1473.54</v>
      </c>
      <c r="I6" s="352">
        <v>6430</v>
      </c>
      <c r="J6" s="352">
        <v>4628.25</v>
      </c>
      <c r="K6" s="352">
        <v>1568.92</v>
      </c>
      <c r="L6" s="352">
        <v>1864.67</v>
      </c>
      <c r="M6" s="352">
        <v>6980.5</v>
      </c>
      <c r="N6" s="352">
        <v>2115.6999999999998</v>
      </c>
      <c r="O6" s="352">
        <f t="shared" si="0"/>
        <v>34920.179999999993</v>
      </c>
    </row>
    <row r="7" spans="1:15">
      <c r="A7" s="345" t="s">
        <v>192</v>
      </c>
      <c r="B7" s="346">
        <v>15000</v>
      </c>
      <c r="C7" s="352">
        <v>400.83</v>
      </c>
      <c r="D7" s="352">
        <v>628.74</v>
      </c>
      <c r="E7" s="352">
        <v>913.67000000000007</v>
      </c>
      <c r="F7" s="352">
        <v>847.58</v>
      </c>
      <c r="G7" s="352">
        <v>914.5</v>
      </c>
      <c r="H7" s="352">
        <v>568.13</v>
      </c>
      <c r="I7" s="352">
        <v>475</v>
      </c>
      <c r="J7" s="352">
        <v>579.86</v>
      </c>
      <c r="K7" s="352">
        <v>562.03</v>
      </c>
      <c r="L7" s="352">
        <v>750.72</v>
      </c>
      <c r="M7" s="352">
        <v>724.88</v>
      </c>
      <c r="N7" s="352">
        <v>389.90000000000003</v>
      </c>
      <c r="O7" s="352">
        <f t="shared" si="0"/>
        <v>7755.8399999999992</v>
      </c>
    </row>
    <row r="8" spans="1:15">
      <c r="A8" s="345" t="s">
        <v>195</v>
      </c>
      <c r="B8" s="346">
        <v>18000</v>
      </c>
      <c r="C8" s="352">
        <v>496740.28</v>
      </c>
      <c r="D8" s="352">
        <v>819126.54</v>
      </c>
      <c r="E8" s="352">
        <v>1207671.1500000001</v>
      </c>
      <c r="F8" s="352">
        <v>1127530.75</v>
      </c>
      <c r="G8" s="352">
        <v>1202490.24</v>
      </c>
      <c r="H8" s="352">
        <v>731828.89</v>
      </c>
      <c r="I8" s="352">
        <v>604061.12</v>
      </c>
      <c r="J8" s="352">
        <v>733056.99</v>
      </c>
      <c r="K8" s="352">
        <v>733265.08</v>
      </c>
      <c r="L8" s="352">
        <v>967981.61</v>
      </c>
      <c r="M8" s="352">
        <v>911938.18</v>
      </c>
      <c r="N8" s="352">
        <v>512011.18</v>
      </c>
      <c r="O8" s="352">
        <f t="shared" si="0"/>
        <v>10047702.01</v>
      </c>
    </row>
    <row r="9" spans="1:15">
      <c r="A9" s="345" t="s">
        <v>211</v>
      </c>
      <c r="B9" s="346">
        <v>21000</v>
      </c>
      <c r="C9" s="352">
        <v>979.47</v>
      </c>
      <c r="D9" s="352">
        <v>1533.77</v>
      </c>
      <c r="E9" s="352">
        <v>2234.5700000000002</v>
      </c>
      <c r="F9" s="352">
        <v>2062.06</v>
      </c>
      <c r="G9" s="352">
        <v>2223.73</v>
      </c>
      <c r="H9" s="352">
        <v>1396.64</v>
      </c>
      <c r="I9" s="352">
        <v>1139.8</v>
      </c>
      <c r="J9" s="352">
        <v>1388.69</v>
      </c>
      <c r="K9" s="352">
        <v>1349.39</v>
      </c>
      <c r="L9" s="352">
        <v>1769.86</v>
      </c>
      <c r="M9" s="352">
        <v>1722.08</v>
      </c>
      <c r="N9" s="352">
        <v>934.81000000000006</v>
      </c>
      <c r="O9" s="352">
        <f t="shared" si="0"/>
        <v>18734.87</v>
      </c>
    </row>
    <row r="10" spans="1:15">
      <c r="A10" s="345" t="s">
        <v>217</v>
      </c>
      <c r="B10" s="346">
        <v>24000</v>
      </c>
      <c r="C10" s="352">
        <v>591.80999999999995</v>
      </c>
      <c r="D10" s="352">
        <v>353.37</v>
      </c>
      <c r="E10" s="352">
        <v>291.48</v>
      </c>
      <c r="F10" s="352">
        <v>238.48000000000002</v>
      </c>
      <c r="G10" s="352">
        <v>162.32</v>
      </c>
      <c r="H10" s="352">
        <v>51.08</v>
      </c>
      <c r="I10" s="352">
        <v>170.75</v>
      </c>
      <c r="J10" s="352">
        <v>239.19</v>
      </c>
      <c r="K10" s="352">
        <v>256.09000000000003</v>
      </c>
      <c r="L10" s="352">
        <v>318.08999999999997</v>
      </c>
      <c r="M10" s="352">
        <v>267.33</v>
      </c>
      <c r="N10" s="352">
        <v>248.17000000000002</v>
      </c>
      <c r="O10" s="352">
        <f t="shared" si="0"/>
        <v>3188.16</v>
      </c>
    </row>
    <row r="11" spans="1:15">
      <c r="A11" s="345" t="s">
        <v>221</v>
      </c>
      <c r="B11" s="346">
        <v>25000</v>
      </c>
      <c r="C11" s="352">
        <v>40543.910000000003</v>
      </c>
      <c r="D11" s="352">
        <v>51672.32</v>
      </c>
      <c r="E11" s="352">
        <v>68914.990000000005</v>
      </c>
      <c r="F11" s="352">
        <v>64115.15</v>
      </c>
      <c r="G11" s="352">
        <v>69937.59</v>
      </c>
      <c r="H11" s="352">
        <v>52676.01</v>
      </c>
      <c r="I11" s="352">
        <v>42316.24</v>
      </c>
      <c r="J11" s="352">
        <v>51678.559999999998</v>
      </c>
      <c r="K11" s="352">
        <v>41974.19</v>
      </c>
      <c r="L11" s="352">
        <v>65070.39</v>
      </c>
      <c r="M11" s="352">
        <v>72458.070000000007</v>
      </c>
      <c r="N11" s="352">
        <v>29506.52</v>
      </c>
      <c r="O11" s="352">
        <f t="shared" si="0"/>
        <v>650863.93999999994</v>
      </c>
    </row>
    <row r="12" spans="1:15">
      <c r="A12" s="345" t="s">
        <v>231</v>
      </c>
      <c r="B12" s="346">
        <v>27000</v>
      </c>
      <c r="C12" s="352">
        <v>22589.82</v>
      </c>
      <c r="D12" s="352">
        <v>19674.89</v>
      </c>
      <c r="E12" s="352">
        <v>25678.37</v>
      </c>
      <c r="F12" s="352">
        <v>23625.4</v>
      </c>
      <c r="G12" s="352">
        <v>27946.73</v>
      </c>
      <c r="H12" s="352">
        <v>23730.920000000002</v>
      </c>
      <c r="I12" s="352">
        <v>24194.68</v>
      </c>
      <c r="J12" s="352">
        <v>24540.15</v>
      </c>
      <c r="K12" s="352">
        <v>22146.86</v>
      </c>
      <c r="L12" s="352">
        <v>28135.75</v>
      </c>
      <c r="M12" s="352">
        <v>30130.68</v>
      </c>
      <c r="N12" s="352">
        <v>19224.71</v>
      </c>
      <c r="O12" s="352">
        <f t="shared" si="0"/>
        <v>291618.96000000002</v>
      </c>
    </row>
    <row r="13" spans="1:15">
      <c r="A13" s="345" t="s">
        <v>243</v>
      </c>
      <c r="B13" s="346">
        <v>29000</v>
      </c>
      <c r="C13" s="352">
        <v>15463.32</v>
      </c>
      <c r="D13" s="352">
        <v>19391.34</v>
      </c>
      <c r="E13" s="352">
        <v>34954.22</v>
      </c>
      <c r="F13" s="352">
        <v>27434.46</v>
      </c>
      <c r="G13" s="352">
        <v>36046.78</v>
      </c>
      <c r="H13" s="352">
        <v>20009.37</v>
      </c>
      <c r="I13" s="352">
        <v>18214.689999999999</v>
      </c>
      <c r="J13" s="352">
        <v>23147.94</v>
      </c>
      <c r="K13" s="352">
        <v>18851.43</v>
      </c>
      <c r="L13" s="352">
        <v>28676.9</v>
      </c>
      <c r="M13" s="352">
        <v>34955.03</v>
      </c>
      <c r="N13" s="352">
        <v>12352.050000000001</v>
      </c>
      <c r="O13" s="352">
        <f t="shared" si="0"/>
        <v>289497.52999999997</v>
      </c>
    </row>
    <row r="14" spans="1:15" ht="15" thickBot="1">
      <c r="A14" s="345" t="s">
        <v>312</v>
      </c>
      <c r="B14" s="357" t="s">
        <v>313</v>
      </c>
      <c r="C14" s="358">
        <v>600952.1399999999</v>
      </c>
      <c r="D14" s="358">
        <v>945765.84</v>
      </c>
      <c r="E14" s="358">
        <v>1381084.9800000002</v>
      </c>
      <c r="F14" s="358">
        <v>1281207.4499999997</v>
      </c>
      <c r="G14" s="358">
        <v>1384778.53</v>
      </c>
      <c r="H14" s="358">
        <v>859866.63</v>
      </c>
      <c r="I14" s="358">
        <v>724447.66</v>
      </c>
      <c r="J14" s="358">
        <v>881189.34999999974</v>
      </c>
      <c r="K14" s="358">
        <v>851196.15999999992</v>
      </c>
      <c r="L14" s="358">
        <v>1136714.5499999998</v>
      </c>
      <c r="M14" s="358">
        <v>1102729.25</v>
      </c>
      <c r="N14" s="358">
        <v>594724.53000000014</v>
      </c>
      <c r="O14" s="352">
        <f t="shared" si="0"/>
        <v>11744657.069999998</v>
      </c>
    </row>
    <row r="15" spans="1:15" ht="15" thickTop="1">
      <c r="A15" s="345" t="s">
        <v>312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</row>
    <row r="16" spans="1:15">
      <c r="A16" s="345" t="s">
        <v>312</v>
      </c>
      <c r="B16" s="345" t="s">
        <v>314</v>
      </c>
      <c r="C16" s="352">
        <f t="shared" ref="C16:N16" si="1">C14</f>
        <v>600952.1399999999</v>
      </c>
      <c r="D16" s="352">
        <f t="shared" si="1"/>
        <v>945765.84</v>
      </c>
      <c r="E16" s="352">
        <f t="shared" si="1"/>
        <v>1381084.9800000002</v>
      </c>
      <c r="F16" s="352">
        <f t="shared" si="1"/>
        <v>1281207.4499999997</v>
      </c>
      <c r="G16" s="352">
        <f t="shared" si="1"/>
        <v>1384778.53</v>
      </c>
      <c r="H16" s="352">
        <f t="shared" si="1"/>
        <v>859866.63</v>
      </c>
      <c r="I16" s="352">
        <f t="shared" si="1"/>
        <v>724447.66</v>
      </c>
      <c r="J16" s="352">
        <f t="shared" si="1"/>
        <v>881189.34999999974</v>
      </c>
      <c r="K16" s="352">
        <f t="shared" si="1"/>
        <v>851196.15999999992</v>
      </c>
      <c r="L16" s="352">
        <f t="shared" si="1"/>
        <v>1136714.5499999998</v>
      </c>
      <c r="M16" s="352">
        <f t="shared" si="1"/>
        <v>1102729.25</v>
      </c>
      <c r="N16" s="352">
        <f t="shared" si="1"/>
        <v>594724.53000000014</v>
      </c>
    </row>
    <row r="17" spans="1:14">
      <c r="A17" s="345" t="s">
        <v>312</v>
      </c>
      <c r="B17" s="345" t="s">
        <v>315</v>
      </c>
      <c r="C17" s="352">
        <f>'CR 2007'!C16</f>
        <v>640527.86</v>
      </c>
      <c r="D17" s="352">
        <f>'CR 2007'!D16</f>
        <v>737957.66</v>
      </c>
      <c r="E17" s="352">
        <f>'CR 2007'!E16</f>
        <v>1436818.0899999999</v>
      </c>
      <c r="F17" s="352">
        <f>'CR 2007'!F16</f>
        <v>1092345.6600000001</v>
      </c>
      <c r="G17" s="352">
        <f>'CR 2007'!G16</f>
        <v>731798.59</v>
      </c>
      <c r="H17" s="352">
        <f>'CR 2007'!H16</f>
        <v>836388.32000000007</v>
      </c>
      <c r="I17" s="352">
        <f>'CR 2007'!I16</f>
        <v>1447168.16</v>
      </c>
      <c r="J17" s="352">
        <f>'CR 2007'!J16</f>
        <v>951171.5</v>
      </c>
      <c r="K17" s="352">
        <f>'CR 2007'!K16</f>
        <v>1141491.3999999999</v>
      </c>
      <c r="L17" s="352">
        <f>'CR 2007'!L16</f>
        <v>1353355.14</v>
      </c>
      <c r="M17" s="352">
        <f>'CR 2007'!M16</f>
        <v>997913.23999999987</v>
      </c>
      <c r="N17" s="352">
        <f>'CR 2007'!N16</f>
        <v>851130.04</v>
      </c>
    </row>
    <row r="18" spans="1:14">
      <c r="A18" s="345" t="s">
        <v>312</v>
      </c>
      <c r="B18" s="345" t="s">
        <v>265</v>
      </c>
      <c r="C18" s="353">
        <f t="shared" ref="C18:N18" si="2">(C16/C17)-1</f>
        <v>-6.1786102481163119E-2</v>
      </c>
      <c r="D18" s="353">
        <f t="shared" si="2"/>
        <v>0.28159905542548325</v>
      </c>
      <c r="E18" s="353">
        <f t="shared" si="2"/>
        <v>-3.8789259675871435E-2</v>
      </c>
      <c r="F18" s="353">
        <f t="shared" si="2"/>
        <v>0.17289562902643807</v>
      </c>
      <c r="G18" s="353">
        <f t="shared" si="2"/>
        <v>0.89229461346734773</v>
      </c>
      <c r="H18" s="353">
        <f t="shared" si="2"/>
        <v>2.8071063928774009E-2</v>
      </c>
      <c r="I18" s="353">
        <f t="shared" si="2"/>
        <v>-0.49940326216132336</v>
      </c>
      <c r="J18" s="353">
        <f t="shared" si="2"/>
        <v>-7.3574691840535889E-2</v>
      </c>
      <c r="K18" s="353">
        <f t="shared" si="2"/>
        <v>-0.25431224448997169</v>
      </c>
      <c r="L18" s="353">
        <f t="shared" si="2"/>
        <v>-0.16007667433102601</v>
      </c>
      <c r="M18" s="353">
        <f t="shared" si="2"/>
        <v>0.10503519323984523</v>
      </c>
      <c r="N18" s="353">
        <f t="shared" si="2"/>
        <v>-0.3012530376674285</v>
      </c>
    </row>
    <row r="20" spans="1:14">
      <c r="A20" s="359" t="s">
        <v>316</v>
      </c>
      <c r="B20" s="359" t="s">
        <v>317</v>
      </c>
      <c r="C20" s="360" t="s">
        <v>318</v>
      </c>
      <c r="D20" s="360" t="s">
        <v>319</v>
      </c>
    </row>
    <row r="21" spans="1:14">
      <c r="A21" s="345" t="s">
        <v>165</v>
      </c>
      <c r="B21" s="361" t="s">
        <v>320</v>
      </c>
      <c r="C21" s="362">
        <v>0.03</v>
      </c>
      <c r="D21" s="362">
        <v>0.04</v>
      </c>
    </row>
    <row r="22" spans="1:14">
      <c r="A22" s="345" t="s">
        <v>173</v>
      </c>
      <c r="B22" s="361" t="s">
        <v>321</v>
      </c>
      <c r="C22" s="362">
        <v>0.03</v>
      </c>
      <c r="D22" s="362"/>
    </row>
    <row r="23" spans="1:14">
      <c r="A23" s="345" t="s">
        <v>179</v>
      </c>
      <c r="B23" s="361" t="s">
        <v>322</v>
      </c>
      <c r="C23" s="362">
        <v>0.03</v>
      </c>
      <c r="D23" s="362"/>
    </row>
    <row r="24" spans="1:14">
      <c r="A24" s="345" t="s">
        <v>192</v>
      </c>
      <c r="B24" s="361" t="s">
        <v>323</v>
      </c>
      <c r="C24" s="362">
        <v>0.03</v>
      </c>
      <c r="D24" s="362">
        <v>0.04</v>
      </c>
    </row>
    <row r="25" spans="1:14">
      <c r="A25" s="345" t="s">
        <v>195</v>
      </c>
      <c r="B25" s="361" t="s">
        <v>324</v>
      </c>
      <c r="C25" s="362">
        <v>0.03</v>
      </c>
      <c r="D25" s="362">
        <v>0.04</v>
      </c>
    </row>
    <row r="26" spans="1:14">
      <c r="A26" s="345" t="s">
        <v>211</v>
      </c>
      <c r="B26" s="361" t="s">
        <v>325</v>
      </c>
      <c r="C26" s="362">
        <v>0.03</v>
      </c>
      <c r="D26" s="362">
        <v>0.04</v>
      </c>
    </row>
    <row r="27" spans="1:14">
      <c r="A27" s="345" t="s">
        <v>217</v>
      </c>
      <c r="B27" s="361" t="s">
        <v>326</v>
      </c>
      <c r="C27" s="362">
        <v>0.03</v>
      </c>
      <c r="D27" s="362"/>
    </row>
    <row r="28" spans="1:14">
      <c r="A28" s="345" t="s">
        <v>221</v>
      </c>
      <c r="B28" s="361" t="s">
        <v>327</v>
      </c>
      <c r="C28" s="362">
        <v>0.03</v>
      </c>
      <c r="D28" s="362">
        <v>0.04</v>
      </c>
    </row>
    <row r="29" spans="1:14">
      <c r="A29" s="345" t="s">
        <v>231</v>
      </c>
      <c r="B29" s="361" t="s">
        <v>328</v>
      </c>
      <c r="C29" s="362">
        <v>0.03</v>
      </c>
      <c r="D29" s="362">
        <v>0.04</v>
      </c>
    </row>
    <row r="30" spans="1:14">
      <c r="A30" s="345" t="s">
        <v>243</v>
      </c>
      <c r="B30" s="361" t="s">
        <v>329</v>
      </c>
      <c r="C30" s="362">
        <v>0.03</v>
      </c>
      <c r="D30" s="362">
        <v>0.04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rgb="FFFF0000"/>
  </sheetPr>
  <dimension ref="A1:O30"/>
  <sheetViews>
    <sheetView workbookViewId="0">
      <selection activeCell="J18" sqref="J18"/>
    </sheetView>
  </sheetViews>
  <sheetFormatPr baseColWidth="10" defaultColWidth="9.1640625" defaultRowHeight="14" x14ac:dyDescent="0"/>
  <cols>
    <col min="1" max="2" width="9.1640625" style="345"/>
    <col min="3" max="4" width="9.83203125" style="345" bestFit="1" customWidth="1"/>
    <col min="5" max="6" width="11.33203125" style="345" bestFit="1" customWidth="1"/>
    <col min="7" max="8" width="9.83203125" style="345" bestFit="1" customWidth="1"/>
    <col min="9" max="9" width="11.33203125" style="345" bestFit="1" customWidth="1"/>
    <col min="10" max="10" width="9.83203125" style="345" bestFit="1" customWidth="1"/>
    <col min="11" max="12" width="11.33203125" style="345" bestFit="1" customWidth="1"/>
    <col min="13" max="14" width="9.83203125" style="345" bestFit="1" customWidth="1"/>
    <col min="15" max="15" width="12.33203125" style="345" bestFit="1" customWidth="1"/>
    <col min="16" max="16384" width="9.1640625" style="345"/>
  </cols>
  <sheetData>
    <row r="1" spans="1:15" ht="45">
      <c r="A1" s="343" t="s">
        <v>309</v>
      </c>
      <c r="B1" s="344"/>
    </row>
    <row r="2" spans="1:15">
      <c r="B2" s="346"/>
    </row>
    <row r="3" spans="1:15">
      <c r="A3" s="354" t="s">
        <v>310</v>
      </c>
      <c r="B3" s="355" t="s">
        <v>311</v>
      </c>
      <c r="C3" s="356">
        <v>39083</v>
      </c>
      <c r="D3" s="356">
        <v>39114</v>
      </c>
      <c r="E3" s="356">
        <v>39142</v>
      </c>
      <c r="F3" s="356">
        <v>39173</v>
      </c>
      <c r="G3" s="356">
        <v>39203</v>
      </c>
      <c r="H3" s="356">
        <v>39234</v>
      </c>
      <c r="I3" s="356">
        <v>39264</v>
      </c>
      <c r="J3" s="356">
        <v>39295</v>
      </c>
      <c r="K3" s="356">
        <v>39326</v>
      </c>
      <c r="L3" s="356">
        <v>39356</v>
      </c>
      <c r="M3" s="356">
        <v>39387</v>
      </c>
      <c r="N3" s="356">
        <v>39417</v>
      </c>
      <c r="O3" s="348" t="s">
        <v>54</v>
      </c>
    </row>
    <row r="4" spans="1:15">
      <c r="A4" s="345" t="s">
        <v>165</v>
      </c>
      <c r="B4" s="346">
        <v>6000</v>
      </c>
      <c r="C4" s="352">
        <v>22518.11</v>
      </c>
      <c r="D4" s="352">
        <v>22708.58</v>
      </c>
      <c r="E4" s="352">
        <v>39587.519999999997</v>
      </c>
      <c r="F4" s="352">
        <v>31823.94</v>
      </c>
      <c r="G4" s="352">
        <v>24069.86</v>
      </c>
      <c r="H4" s="352">
        <v>26165.23</v>
      </c>
      <c r="I4" s="352">
        <v>42268.41</v>
      </c>
      <c r="J4" s="352">
        <v>34790.82</v>
      </c>
      <c r="K4" s="352">
        <v>38454.89</v>
      </c>
      <c r="L4" s="352">
        <v>51515.01</v>
      </c>
      <c r="M4" s="352">
        <v>37180.92</v>
      </c>
      <c r="N4" s="352">
        <v>28513.61</v>
      </c>
      <c r="O4" s="352">
        <f t="shared" ref="O4:O14" si="0">SUM(C4:N4)</f>
        <v>399596.9</v>
      </c>
    </row>
    <row r="5" spans="1:15">
      <c r="A5" s="345" t="s">
        <v>173</v>
      </c>
      <c r="B5" s="346">
        <v>7000</v>
      </c>
      <c r="C5" s="352">
        <v>0</v>
      </c>
      <c r="D5" s="352">
        <v>0</v>
      </c>
      <c r="E5" s="352">
        <v>0</v>
      </c>
      <c r="F5" s="352">
        <v>0</v>
      </c>
      <c r="G5" s="352">
        <v>0</v>
      </c>
      <c r="H5" s="352">
        <v>0</v>
      </c>
      <c r="I5" s="352">
        <v>0</v>
      </c>
      <c r="J5" s="352">
        <v>0</v>
      </c>
      <c r="K5" s="352">
        <v>0</v>
      </c>
      <c r="L5" s="352">
        <v>316.3</v>
      </c>
      <c r="M5" s="352">
        <v>0</v>
      </c>
      <c r="N5" s="352">
        <v>0</v>
      </c>
      <c r="O5" s="352">
        <f t="shared" si="0"/>
        <v>316.3</v>
      </c>
    </row>
    <row r="6" spans="1:15">
      <c r="A6" s="345" t="s">
        <v>179</v>
      </c>
      <c r="B6" s="346">
        <v>10000</v>
      </c>
      <c r="C6" s="352">
        <v>678.62</v>
      </c>
      <c r="D6" s="352">
        <v>3017.76</v>
      </c>
      <c r="E6" s="352">
        <v>884.92</v>
      </c>
      <c r="F6" s="352">
        <v>245.6</v>
      </c>
      <c r="G6" s="352">
        <v>2434.94</v>
      </c>
      <c r="H6" s="352">
        <v>1748.88</v>
      </c>
      <c r="I6" s="352">
        <v>11.85</v>
      </c>
      <c r="J6" s="352">
        <v>7167.5</v>
      </c>
      <c r="K6" s="352">
        <v>3367.42</v>
      </c>
      <c r="L6" s="352">
        <v>1390.42</v>
      </c>
      <c r="M6" s="352">
        <v>5759.97</v>
      </c>
      <c r="N6" s="352">
        <v>2893.01</v>
      </c>
      <c r="O6" s="352">
        <f t="shared" si="0"/>
        <v>29600.890000000007</v>
      </c>
    </row>
    <row r="7" spans="1:15">
      <c r="A7" s="345" t="s">
        <v>192</v>
      </c>
      <c r="B7" s="346">
        <v>15000</v>
      </c>
      <c r="C7" s="352">
        <v>429.37</v>
      </c>
      <c r="D7" s="352">
        <v>492.81</v>
      </c>
      <c r="E7" s="352">
        <v>964.25</v>
      </c>
      <c r="F7" s="352">
        <v>733</v>
      </c>
      <c r="G7" s="352">
        <v>488.53</v>
      </c>
      <c r="H7" s="352">
        <v>557.98</v>
      </c>
      <c r="I7" s="352">
        <v>966.13</v>
      </c>
      <c r="J7" s="352">
        <v>634.63</v>
      </c>
      <c r="K7" s="352">
        <v>771.14</v>
      </c>
      <c r="L7" s="352">
        <v>920.04</v>
      </c>
      <c r="M7" s="352">
        <v>667.25</v>
      </c>
      <c r="N7" s="352">
        <v>566.4</v>
      </c>
      <c r="O7" s="352">
        <f t="shared" si="0"/>
        <v>8191.53</v>
      </c>
    </row>
    <row r="8" spans="1:15">
      <c r="A8" s="345" t="s">
        <v>195</v>
      </c>
      <c r="B8" s="346">
        <v>18000</v>
      </c>
      <c r="C8" s="352">
        <v>538816.86</v>
      </c>
      <c r="D8" s="352">
        <v>631722.25</v>
      </c>
      <c r="E8" s="352">
        <v>1263514.78</v>
      </c>
      <c r="F8" s="352">
        <v>956216.4</v>
      </c>
      <c r="G8" s="352">
        <v>623313.97</v>
      </c>
      <c r="H8" s="352">
        <v>719875.76</v>
      </c>
      <c r="I8" s="352">
        <v>1253893.45</v>
      </c>
      <c r="J8" s="352">
        <v>790897.83</v>
      </c>
      <c r="K8" s="352">
        <v>965132.16</v>
      </c>
      <c r="L8" s="352">
        <v>1152956.51</v>
      </c>
      <c r="M8" s="352">
        <v>842907.45</v>
      </c>
      <c r="N8" s="352">
        <v>716667.97</v>
      </c>
      <c r="O8" s="352">
        <f t="shared" si="0"/>
        <v>10455915.390000001</v>
      </c>
    </row>
    <row r="9" spans="1:15">
      <c r="A9" s="345" t="s">
        <v>211</v>
      </c>
      <c r="B9" s="346">
        <v>21000</v>
      </c>
      <c r="C9" s="352">
        <v>1061.04</v>
      </c>
      <c r="D9" s="352">
        <v>1208.56</v>
      </c>
      <c r="E9" s="352">
        <v>2384.9499999999998</v>
      </c>
      <c r="F9" s="352">
        <v>1797.64</v>
      </c>
      <c r="G9" s="352">
        <v>1216.26</v>
      </c>
      <c r="H9" s="352">
        <v>1375.65</v>
      </c>
      <c r="I9" s="352">
        <v>2387.37</v>
      </c>
      <c r="J9" s="352">
        <v>1540.18</v>
      </c>
      <c r="K9" s="352">
        <v>1894.97</v>
      </c>
      <c r="L9" s="352">
        <v>2207.5</v>
      </c>
      <c r="M9" s="352">
        <v>1628.07</v>
      </c>
      <c r="N9" s="352">
        <v>1396.74</v>
      </c>
      <c r="O9" s="352">
        <f t="shared" si="0"/>
        <v>20098.930000000004</v>
      </c>
    </row>
    <row r="10" spans="1:15">
      <c r="A10" s="345" t="s">
        <v>217</v>
      </c>
      <c r="B10" s="346">
        <v>24000</v>
      </c>
      <c r="C10" s="352">
        <v>605.72</v>
      </c>
      <c r="D10" s="352">
        <v>634.63</v>
      </c>
      <c r="E10" s="352">
        <v>666.57</v>
      </c>
      <c r="F10" s="352">
        <v>673.92</v>
      </c>
      <c r="G10" s="352">
        <v>399.6</v>
      </c>
      <c r="H10" s="352">
        <v>564.62</v>
      </c>
      <c r="I10" s="352">
        <v>586.54999999999995</v>
      </c>
      <c r="J10" s="352">
        <v>688.71</v>
      </c>
      <c r="K10" s="352">
        <v>917.25</v>
      </c>
      <c r="L10" s="352">
        <v>796.39</v>
      </c>
      <c r="M10" s="352">
        <v>507.98</v>
      </c>
      <c r="N10" s="352">
        <v>401.35</v>
      </c>
      <c r="O10" s="352">
        <f t="shared" si="0"/>
        <v>7443.2900000000009</v>
      </c>
    </row>
    <row r="11" spans="1:15">
      <c r="A11" s="345" t="s">
        <v>221</v>
      </c>
      <c r="B11" s="346">
        <v>25000</v>
      </c>
      <c r="C11" s="352">
        <v>37896.04</v>
      </c>
      <c r="D11" s="352">
        <v>39442.230000000003</v>
      </c>
      <c r="E11" s="352">
        <v>71355.839999999997</v>
      </c>
      <c r="F11" s="352">
        <v>51708.51</v>
      </c>
      <c r="G11" s="352">
        <v>41946.73</v>
      </c>
      <c r="H11" s="352">
        <v>46207.44</v>
      </c>
      <c r="I11" s="352">
        <v>73901.67</v>
      </c>
      <c r="J11" s="352">
        <v>57829.06</v>
      </c>
      <c r="K11" s="352">
        <v>70862.64</v>
      </c>
      <c r="L11" s="352">
        <v>78255.42</v>
      </c>
      <c r="M11" s="352">
        <v>55942.14</v>
      </c>
      <c r="N11" s="352">
        <v>50845.68</v>
      </c>
      <c r="O11" s="352">
        <f t="shared" si="0"/>
        <v>676193.40000000014</v>
      </c>
    </row>
    <row r="12" spans="1:15">
      <c r="A12" s="345" t="s">
        <v>231</v>
      </c>
      <c r="B12" s="346">
        <v>27000</v>
      </c>
      <c r="C12" s="352">
        <v>20312.41</v>
      </c>
      <c r="D12" s="352">
        <v>18515.96</v>
      </c>
      <c r="E12" s="352">
        <v>26951.88</v>
      </c>
      <c r="F12" s="352">
        <v>24013.84</v>
      </c>
      <c r="G12" s="352">
        <v>17772.64</v>
      </c>
      <c r="H12" s="352">
        <v>18551.78</v>
      </c>
      <c r="I12" s="352">
        <v>41075.96</v>
      </c>
      <c r="J12" s="352">
        <v>31641.49</v>
      </c>
      <c r="K12" s="352">
        <v>31516.65</v>
      </c>
      <c r="L12" s="352">
        <v>31762.3</v>
      </c>
      <c r="M12" s="352">
        <v>27523.62</v>
      </c>
      <c r="N12" s="352">
        <v>27941.66</v>
      </c>
      <c r="O12" s="352">
        <f t="shared" si="0"/>
        <v>317580.18999999994</v>
      </c>
    </row>
    <row r="13" spans="1:15">
      <c r="A13" s="345" t="s">
        <v>243</v>
      </c>
      <c r="B13" s="346">
        <v>29000</v>
      </c>
      <c r="C13" s="352">
        <v>18209.689999999999</v>
      </c>
      <c r="D13" s="352">
        <v>20214.88</v>
      </c>
      <c r="E13" s="352">
        <v>30507.38</v>
      </c>
      <c r="F13" s="352">
        <v>25132.81</v>
      </c>
      <c r="G13" s="352">
        <v>20156.060000000001</v>
      </c>
      <c r="H13" s="352">
        <v>21340.98</v>
      </c>
      <c r="I13" s="352">
        <v>32076.77</v>
      </c>
      <c r="J13" s="352">
        <v>25981.279999999999</v>
      </c>
      <c r="K13" s="352">
        <v>28574.28</v>
      </c>
      <c r="L13" s="352">
        <v>33235.25</v>
      </c>
      <c r="M13" s="352">
        <v>25795.84</v>
      </c>
      <c r="N13" s="352">
        <v>21903.62</v>
      </c>
      <c r="O13" s="352">
        <f t="shared" si="0"/>
        <v>303128.83999999997</v>
      </c>
    </row>
    <row r="14" spans="1:15" ht="15" thickBot="1">
      <c r="A14" s="345" t="s">
        <v>312</v>
      </c>
      <c r="B14" s="357" t="s">
        <v>313</v>
      </c>
      <c r="C14" s="358">
        <v>640527.86</v>
      </c>
      <c r="D14" s="358">
        <v>737957.66</v>
      </c>
      <c r="E14" s="358">
        <v>1436818.0899999999</v>
      </c>
      <c r="F14" s="358">
        <v>1092345.6600000001</v>
      </c>
      <c r="G14" s="358">
        <v>731798.59</v>
      </c>
      <c r="H14" s="358">
        <v>836388.32000000007</v>
      </c>
      <c r="I14" s="358">
        <v>1447168.16</v>
      </c>
      <c r="J14" s="358">
        <v>951171.5</v>
      </c>
      <c r="K14" s="358">
        <v>1141491.3999999999</v>
      </c>
      <c r="L14" s="358">
        <v>1353355.14</v>
      </c>
      <c r="M14" s="358">
        <v>997913.23999999987</v>
      </c>
      <c r="N14" s="358">
        <v>851130.04</v>
      </c>
      <c r="O14" s="352">
        <f t="shared" si="0"/>
        <v>12218065.66</v>
      </c>
    </row>
    <row r="15" spans="1:15" ht="15" thickTop="1">
      <c r="A15" s="345" t="s">
        <v>312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</row>
    <row r="16" spans="1:15">
      <c r="A16" s="345" t="s">
        <v>312</v>
      </c>
      <c r="B16" s="345" t="s">
        <v>314</v>
      </c>
      <c r="C16" s="352">
        <f t="shared" ref="C16:N16" si="1">C14</f>
        <v>640527.86</v>
      </c>
      <c r="D16" s="352">
        <f t="shared" si="1"/>
        <v>737957.66</v>
      </c>
      <c r="E16" s="352">
        <f t="shared" si="1"/>
        <v>1436818.0899999999</v>
      </c>
      <c r="F16" s="352">
        <f t="shared" si="1"/>
        <v>1092345.6600000001</v>
      </c>
      <c r="G16" s="352">
        <f t="shared" si="1"/>
        <v>731798.59</v>
      </c>
      <c r="H16" s="352">
        <f t="shared" si="1"/>
        <v>836388.32000000007</v>
      </c>
      <c r="I16" s="352">
        <f t="shared" si="1"/>
        <v>1447168.16</v>
      </c>
      <c r="J16" s="352">
        <f t="shared" si="1"/>
        <v>951171.5</v>
      </c>
      <c r="K16" s="352">
        <f t="shared" si="1"/>
        <v>1141491.3999999999</v>
      </c>
      <c r="L16" s="352">
        <f t="shared" si="1"/>
        <v>1353355.14</v>
      </c>
      <c r="M16" s="352">
        <f t="shared" si="1"/>
        <v>997913.23999999987</v>
      </c>
      <c r="N16" s="352">
        <f t="shared" si="1"/>
        <v>851130.04</v>
      </c>
    </row>
    <row r="17" spans="1:14">
      <c r="A17" s="345" t="s">
        <v>312</v>
      </c>
      <c r="B17" s="345" t="s">
        <v>315</v>
      </c>
      <c r="C17" s="352">
        <f>'CR 2006'!C16</f>
        <v>530014.44000000006</v>
      </c>
      <c r="D17" s="352">
        <f>'CR 2006'!D16</f>
        <v>531878.53</v>
      </c>
      <c r="E17" s="352">
        <f>'CR 2006'!E16</f>
        <v>1384896.1500000001</v>
      </c>
      <c r="F17" s="352">
        <f>'CR 2006'!F16</f>
        <v>1108647.96</v>
      </c>
      <c r="G17" s="352">
        <f>'CR 2006'!G16</f>
        <v>1378146.25</v>
      </c>
      <c r="H17" s="352">
        <f>'CR 2006'!H16</f>
        <v>799039.05999999994</v>
      </c>
      <c r="I17" s="352">
        <f>'CR 2006'!I16</f>
        <v>589112.81000000006</v>
      </c>
      <c r="J17" s="352">
        <f>'CR 2006'!J16</f>
        <v>930018.78</v>
      </c>
      <c r="K17" s="352">
        <f>'CR 2006'!K16</f>
        <v>867346.96999999986</v>
      </c>
      <c r="L17" s="352">
        <f>'CR 2006'!L16</f>
        <v>1312582.67</v>
      </c>
      <c r="M17" s="352">
        <f>'CR 2006'!M16</f>
        <v>930530.29</v>
      </c>
      <c r="N17" s="352">
        <f>'CR 2006'!N16</f>
        <v>770461.54000000015</v>
      </c>
    </row>
    <row r="18" spans="1:14">
      <c r="A18" s="345" t="s">
        <v>312</v>
      </c>
      <c r="B18" s="345" t="s">
        <v>265</v>
      </c>
      <c r="C18" s="353">
        <f t="shared" ref="C18:N18" si="2">(C16/C17)-1</f>
        <v>0.20851020587288138</v>
      </c>
      <c r="D18" s="353">
        <f t="shared" si="2"/>
        <v>0.38745525223588184</v>
      </c>
      <c r="E18" s="353">
        <f t="shared" si="2"/>
        <v>3.7491576534457005E-2</v>
      </c>
      <c r="F18" s="353">
        <f t="shared" si="2"/>
        <v>-1.4704667837028951E-2</v>
      </c>
      <c r="G18" s="353">
        <f t="shared" si="2"/>
        <v>-0.46899787304866958</v>
      </c>
      <c r="H18" s="353">
        <f t="shared" si="2"/>
        <v>4.6742721188123282E-2</v>
      </c>
      <c r="I18" s="353">
        <f t="shared" si="2"/>
        <v>1.4565212900395084</v>
      </c>
      <c r="J18" s="353">
        <f t="shared" si="2"/>
        <v>2.274440092489316E-2</v>
      </c>
      <c r="K18" s="353">
        <f t="shared" si="2"/>
        <v>0.3160723902684528</v>
      </c>
      <c r="L18" s="353">
        <f t="shared" si="2"/>
        <v>3.1062782506491526E-2</v>
      </c>
      <c r="M18" s="353">
        <f t="shared" si="2"/>
        <v>7.2413494460239258E-2</v>
      </c>
      <c r="N18" s="353">
        <f t="shared" si="2"/>
        <v>0.1047015273468419</v>
      </c>
    </row>
    <row r="20" spans="1:14">
      <c r="A20" s="359" t="s">
        <v>316</v>
      </c>
      <c r="B20" s="359" t="s">
        <v>317</v>
      </c>
      <c r="C20" s="360" t="s">
        <v>318</v>
      </c>
      <c r="D20" s="360" t="s">
        <v>319</v>
      </c>
    </row>
    <row r="21" spans="1:14">
      <c r="A21" s="345" t="s">
        <v>165</v>
      </c>
      <c r="B21" s="361" t="s">
        <v>320</v>
      </c>
      <c r="C21" s="362">
        <v>0.03</v>
      </c>
      <c r="D21" s="362">
        <v>0.04</v>
      </c>
    </row>
    <row r="22" spans="1:14">
      <c r="A22" s="345" t="s">
        <v>173</v>
      </c>
      <c r="B22" s="361" t="s">
        <v>321</v>
      </c>
      <c r="C22" s="362">
        <v>0.03</v>
      </c>
      <c r="D22" s="362"/>
    </row>
    <row r="23" spans="1:14">
      <c r="A23" s="345" t="s">
        <v>179</v>
      </c>
      <c r="B23" s="361" t="s">
        <v>322</v>
      </c>
      <c r="C23" s="362">
        <v>0.03</v>
      </c>
      <c r="D23" s="362"/>
    </row>
    <row r="24" spans="1:14">
      <c r="A24" s="345" t="s">
        <v>192</v>
      </c>
      <c r="B24" s="361" t="s">
        <v>323</v>
      </c>
      <c r="C24" s="362">
        <v>0.03</v>
      </c>
      <c r="D24" s="362">
        <v>0.04</v>
      </c>
    </row>
    <row r="25" spans="1:14">
      <c r="A25" s="345" t="s">
        <v>195</v>
      </c>
      <c r="B25" s="361" t="s">
        <v>324</v>
      </c>
      <c r="C25" s="362">
        <v>0.03</v>
      </c>
      <c r="D25" s="362">
        <v>0.04</v>
      </c>
    </row>
    <row r="26" spans="1:14">
      <c r="A26" s="345" t="s">
        <v>211</v>
      </c>
      <c r="B26" s="361" t="s">
        <v>325</v>
      </c>
      <c r="C26" s="362">
        <v>0.03</v>
      </c>
      <c r="D26" s="362">
        <v>0.04</v>
      </c>
    </row>
    <row r="27" spans="1:14">
      <c r="A27" s="345" t="s">
        <v>217</v>
      </c>
      <c r="B27" s="361" t="s">
        <v>326</v>
      </c>
      <c r="C27" s="362">
        <v>0.03</v>
      </c>
      <c r="D27" s="362"/>
    </row>
    <row r="28" spans="1:14">
      <c r="A28" s="345" t="s">
        <v>221</v>
      </c>
      <c r="B28" s="361" t="s">
        <v>327</v>
      </c>
      <c r="C28" s="362">
        <v>0.03</v>
      </c>
      <c r="D28" s="362">
        <v>0.04</v>
      </c>
    </row>
    <row r="29" spans="1:14">
      <c r="A29" s="345" t="s">
        <v>231</v>
      </c>
      <c r="B29" s="361" t="s">
        <v>328</v>
      </c>
      <c r="C29" s="362">
        <v>0.03</v>
      </c>
      <c r="D29" s="362">
        <v>0.04</v>
      </c>
    </row>
    <row r="30" spans="1:14">
      <c r="A30" s="345" t="s">
        <v>243</v>
      </c>
      <c r="B30" s="361" t="s">
        <v>329</v>
      </c>
      <c r="C30" s="362">
        <v>0.03</v>
      </c>
      <c r="D30" s="362">
        <v>0.04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rgb="FFFF0000"/>
  </sheetPr>
  <dimension ref="A1:O30"/>
  <sheetViews>
    <sheetView workbookViewId="0">
      <selection activeCell="J18" sqref="J18"/>
    </sheetView>
  </sheetViews>
  <sheetFormatPr baseColWidth="10" defaultColWidth="9.1640625" defaultRowHeight="14" x14ac:dyDescent="0"/>
  <cols>
    <col min="1" max="2" width="9.1640625" style="345"/>
    <col min="3" max="4" width="9.83203125" style="345" bestFit="1" customWidth="1"/>
    <col min="5" max="7" width="11.33203125" style="345" bestFit="1" customWidth="1"/>
    <col min="8" max="11" width="9.83203125" style="345" bestFit="1" customWidth="1"/>
    <col min="12" max="12" width="11.33203125" style="345" bestFit="1" customWidth="1"/>
    <col min="13" max="14" width="9.83203125" style="345" bestFit="1" customWidth="1"/>
    <col min="15" max="15" width="12.33203125" style="345" bestFit="1" customWidth="1"/>
    <col min="16" max="16384" width="9.1640625" style="345"/>
  </cols>
  <sheetData>
    <row r="1" spans="1:15" ht="45">
      <c r="A1" s="343" t="s">
        <v>309</v>
      </c>
      <c r="B1" s="344"/>
    </row>
    <row r="2" spans="1:15">
      <c r="B2" s="346"/>
    </row>
    <row r="3" spans="1:15">
      <c r="A3" s="354" t="s">
        <v>310</v>
      </c>
      <c r="B3" s="355" t="s">
        <v>311</v>
      </c>
      <c r="C3" s="356">
        <v>38718</v>
      </c>
      <c r="D3" s="356">
        <v>38749</v>
      </c>
      <c r="E3" s="356">
        <v>38777</v>
      </c>
      <c r="F3" s="356">
        <v>38808</v>
      </c>
      <c r="G3" s="356">
        <v>38838</v>
      </c>
      <c r="H3" s="356">
        <v>38869</v>
      </c>
      <c r="I3" s="356">
        <v>38899</v>
      </c>
      <c r="J3" s="356">
        <v>38930</v>
      </c>
      <c r="K3" s="356">
        <v>38961</v>
      </c>
      <c r="L3" s="356">
        <v>38991</v>
      </c>
      <c r="M3" s="356">
        <v>39022</v>
      </c>
      <c r="N3" s="356">
        <v>39052</v>
      </c>
      <c r="O3" s="348" t="s">
        <v>54</v>
      </c>
    </row>
    <row r="4" spans="1:15">
      <c r="A4" s="345" t="s">
        <v>165</v>
      </c>
      <c r="B4" s="346">
        <v>6000</v>
      </c>
      <c r="C4" s="352">
        <v>17203.830000000002</v>
      </c>
      <c r="D4" s="352">
        <v>16788.3</v>
      </c>
      <c r="E4" s="352">
        <v>37682.639999999999</v>
      </c>
      <c r="F4" s="352">
        <v>31884.54</v>
      </c>
      <c r="G4" s="352">
        <v>39259.26</v>
      </c>
      <c r="H4" s="352">
        <v>24956.3</v>
      </c>
      <c r="I4" s="352">
        <v>19472.93</v>
      </c>
      <c r="J4" s="352">
        <v>30375.91</v>
      </c>
      <c r="K4" s="352">
        <v>27972.32</v>
      </c>
      <c r="L4" s="352">
        <v>43764.6</v>
      </c>
      <c r="M4" s="352">
        <v>30765.05</v>
      </c>
      <c r="N4" s="352">
        <v>24254.3</v>
      </c>
      <c r="O4" s="352">
        <f t="shared" ref="O4:O14" si="0">SUM(C4:N4)</f>
        <v>344379.98</v>
      </c>
    </row>
    <row r="5" spans="1:15">
      <c r="A5" s="345" t="s">
        <v>173</v>
      </c>
      <c r="B5" s="346">
        <v>7000</v>
      </c>
      <c r="C5" s="352"/>
      <c r="D5" s="352"/>
      <c r="E5" s="352">
        <v>0</v>
      </c>
      <c r="F5" s="352">
        <v>0</v>
      </c>
      <c r="G5" s="352">
        <v>0</v>
      </c>
      <c r="H5" s="352">
        <v>0</v>
      </c>
      <c r="I5" s="352">
        <v>0</v>
      </c>
      <c r="J5" s="352">
        <v>0</v>
      </c>
      <c r="K5" s="352">
        <v>0</v>
      </c>
      <c r="L5" s="352">
        <v>0</v>
      </c>
      <c r="M5" s="352">
        <v>0</v>
      </c>
      <c r="N5" s="352">
        <v>0</v>
      </c>
      <c r="O5" s="352">
        <f t="shared" si="0"/>
        <v>0</v>
      </c>
    </row>
    <row r="6" spans="1:15">
      <c r="A6" s="345" t="s">
        <v>179</v>
      </c>
      <c r="B6" s="346">
        <v>10000</v>
      </c>
      <c r="C6" s="352">
        <v>1052.43</v>
      </c>
      <c r="D6" s="352">
        <v>2431.8000000000002</v>
      </c>
      <c r="E6" s="352"/>
      <c r="F6" s="352">
        <v>293.81</v>
      </c>
      <c r="G6" s="352">
        <v>4969.63</v>
      </c>
      <c r="H6" s="352">
        <v>2059.11</v>
      </c>
      <c r="I6" s="352">
        <v>0</v>
      </c>
      <c r="J6" s="352">
        <v>5104.63</v>
      </c>
      <c r="K6" s="352">
        <v>1774.77</v>
      </c>
      <c r="L6" s="352">
        <v>1533.59</v>
      </c>
      <c r="M6" s="352">
        <v>5126.6000000000004</v>
      </c>
      <c r="N6" s="352">
        <v>3037.52</v>
      </c>
      <c r="O6" s="352">
        <f t="shared" si="0"/>
        <v>27383.890000000003</v>
      </c>
    </row>
    <row r="7" spans="1:15">
      <c r="A7" s="345" t="s">
        <v>192</v>
      </c>
      <c r="B7" s="346">
        <v>15000</v>
      </c>
      <c r="C7" s="352">
        <v>353.88</v>
      </c>
      <c r="D7" s="352">
        <v>353.7</v>
      </c>
      <c r="E7" s="352">
        <v>924.34</v>
      </c>
      <c r="F7" s="352">
        <v>740.44</v>
      </c>
      <c r="G7" s="352">
        <v>918.17</v>
      </c>
      <c r="H7" s="352">
        <v>540.75</v>
      </c>
      <c r="I7" s="352">
        <v>399.71</v>
      </c>
      <c r="J7" s="352">
        <v>625.49</v>
      </c>
      <c r="K7" s="352">
        <v>585.28</v>
      </c>
      <c r="L7" s="352">
        <v>883.66</v>
      </c>
      <c r="M7" s="352">
        <v>622</v>
      </c>
      <c r="N7" s="352">
        <v>515.70000000000005</v>
      </c>
      <c r="O7" s="352">
        <f t="shared" si="0"/>
        <v>7463.119999999999</v>
      </c>
    </row>
    <row r="8" spans="1:15">
      <c r="A8" s="345" t="s">
        <v>195</v>
      </c>
      <c r="B8" s="346">
        <v>18000</v>
      </c>
      <c r="C8" s="352">
        <v>452402.23</v>
      </c>
      <c r="D8" s="352">
        <v>450162.66</v>
      </c>
      <c r="E8" s="352">
        <v>1223128.68</v>
      </c>
      <c r="F8" s="352">
        <v>939766.63</v>
      </c>
      <c r="G8" s="352">
        <v>1203520.94</v>
      </c>
      <c r="H8" s="352">
        <v>684686.09</v>
      </c>
      <c r="I8" s="352">
        <v>497744.23</v>
      </c>
      <c r="J8" s="352">
        <v>783109.1</v>
      </c>
      <c r="K8" s="352">
        <v>731149.19</v>
      </c>
      <c r="L8" s="352">
        <v>1120918.6100000001</v>
      </c>
      <c r="M8" s="352">
        <v>788873.59</v>
      </c>
      <c r="N8" s="352">
        <v>650370.38</v>
      </c>
      <c r="O8" s="352">
        <f t="shared" si="0"/>
        <v>9525832.3300000001</v>
      </c>
    </row>
    <row r="9" spans="1:15">
      <c r="A9" s="345" t="s">
        <v>211</v>
      </c>
      <c r="B9" s="346">
        <v>21000</v>
      </c>
      <c r="C9" s="352"/>
      <c r="D9" s="352">
        <v>322.12</v>
      </c>
      <c r="E9" s="352">
        <v>2422.59</v>
      </c>
      <c r="F9" s="352">
        <v>1930.73</v>
      </c>
      <c r="G9" s="352">
        <v>2415.7199999999998</v>
      </c>
      <c r="H9" s="352">
        <v>1443.98</v>
      </c>
      <c r="I9" s="352">
        <v>1094.58</v>
      </c>
      <c r="J9" s="352">
        <v>1533.79</v>
      </c>
      <c r="K9" s="352">
        <v>1540.12</v>
      </c>
      <c r="L9" s="352">
        <v>2187.9899999999998</v>
      </c>
      <c r="M9" s="352">
        <v>2997</v>
      </c>
      <c r="N9" s="352">
        <v>1278</v>
      </c>
      <c r="O9" s="352">
        <f t="shared" si="0"/>
        <v>19166.619999999995</v>
      </c>
    </row>
    <row r="10" spans="1:15">
      <c r="A10" s="345" t="s">
        <v>217</v>
      </c>
      <c r="B10" s="346">
        <v>24000</v>
      </c>
      <c r="C10" s="352">
        <v>141.26</v>
      </c>
      <c r="D10" s="352">
        <v>374.56</v>
      </c>
      <c r="E10" s="352">
        <v>445.59</v>
      </c>
      <c r="F10" s="352">
        <v>158.75</v>
      </c>
      <c r="G10" s="352">
        <v>100.86</v>
      </c>
      <c r="H10" s="352">
        <v>246.58</v>
      </c>
      <c r="I10" s="352">
        <v>178.84</v>
      </c>
      <c r="J10" s="352">
        <v>377.5</v>
      </c>
      <c r="K10" s="352">
        <v>609.19000000000005</v>
      </c>
      <c r="L10" s="352">
        <v>580.65</v>
      </c>
      <c r="M10" s="352">
        <v>503.69</v>
      </c>
      <c r="N10" s="352">
        <v>812.78</v>
      </c>
      <c r="O10" s="352">
        <f t="shared" si="0"/>
        <v>4530.25</v>
      </c>
    </row>
    <row r="11" spans="1:15">
      <c r="A11" s="345" t="s">
        <v>221</v>
      </c>
      <c r="B11" s="346">
        <v>25000</v>
      </c>
      <c r="C11" s="352">
        <v>30550.69</v>
      </c>
      <c r="D11" s="352">
        <v>30293.61</v>
      </c>
      <c r="E11" s="352">
        <v>66918.75</v>
      </c>
      <c r="F11" s="352">
        <v>85095.07</v>
      </c>
      <c r="G11" s="352">
        <v>66807.91</v>
      </c>
      <c r="H11" s="352">
        <v>43827.839999999997</v>
      </c>
      <c r="I11" s="352">
        <v>35613.9</v>
      </c>
      <c r="J11" s="352">
        <v>52794.7</v>
      </c>
      <c r="K11" s="352">
        <v>52787.57</v>
      </c>
      <c r="L11" s="352">
        <v>74796.929999999993</v>
      </c>
      <c r="M11" s="352">
        <v>51701.26</v>
      </c>
      <c r="N11" s="352">
        <v>49052.5</v>
      </c>
      <c r="O11" s="352">
        <f t="shared" si="0"/>
        <v>640240.73</v>
      </c>
    </row>
    <row r="12" spans="1:15">
      <c r="A12" s="345" t="s">
        <v>231</v>
      </c>
      <c r="B12" s="346">
        <v>27000</v>
      </c>
      <c r="C12" s="352">
        <v>15464.83</v>
      </c>
      <c r="D12" s="352">
        <v>17247.22</v>
      </c>
      <c r="E12" s="352">
        <v>23529.200000000001</v>
      </c>
      <c r="F12" s="352">
        <v>24313</v>
      </c>
      <c r="G12" s="352">
        <v>29337.4</v>
      </c>
      <c r="H12" s="352">
        <v>22456</v>
      </c>
      <c r="I12" s="352">
        <v>15244.79</v>
      </c>
      <c r="J12" s="352">
        <v>29532.9</v>
      </c>
      <c r="K12" s="352">
        <v>27997.02</v>
      </c>
      <c r="L12" s="352">
        <v>35619.22</v>
      </c>
      <c r="M12" s="352">
        <v>24653.3</v>
      </c>
      <c r="N12" s="352">
        <v>20918.8</v>
      </c>
      <c r="O12" s="352">
        <f t="shared" si="0"/>
        <v>286313.68</v>
      </c>
    </row>
    <row r="13" spans="1:15">
      <c r="A13" s="345" t="s">
        <v>243</v>
      </c>
      <c r="B13" s="346">
        <v>29000</v>
      </c>
      <c r="C13" s="352">
        <v>12845.29</v>
      </c>
      <c r="D13" s="352">
        <v>13904.56</v>
      </c>
      <c r="E13" s="352">
        <v>29844.36</v>
      </c>
      <c r="F13" s="352">
        <v>24464.99</v>
      </c>
      <c r="G13" s="352">
        <v>30816.36</v>
      </c>
      <c r="H13" s="352">
        <v>18822.41</v>
      </c>
      <c r="I13" s="352">
        <v>19363.830000000002</v>
      </c>
      <c r="J13" s="352">
        <v>26564.76</v>
      </c>
      <c r="K13" s="352">
        <v>22931.51</v>
      </c>
      <c r="L13" s="352">
        <v>32297.42</v>
      </c>
      <c r="M13" s="352">
        <v>25287.8</v>
      </c>
      <c r="N13" s="352">
        <v>20221.560000000001</v>
      </c>
      <c r="O13" s="352">
        <f t="shared" si="0"/>
        <v>277364.84999999998</v>
      </c>
    </row>
    <row r="14" spans="1:15" ht="15" thickBot="1">
      <c r="A14" s="345" t="s">
        <v>312</v>
      </c>
      <c r="B14" s="357" t="s">
        <v>313</v>
      </c>
      <c r="C14" s="358">
        <v>530014.44000000006</v>
      </c>
      <c r="D14" s="358">
        <v>531878.53</v>
      </c>
      <c r="E14" s="358">
        <v>1384896.1500000001</v>
      </c>
      <c r="F14" s="358">
        <v>1108647.96</v>
      </c>
      <c r="G14" s="358">
        <v>1378146.25</v>
      </c>
      <c r="H14" s="358">
        <v>799039.05999999994</v>
      </c>
      <c r="I14" s="358">
        <v>589112.81000000006</v>
      </c>
      <c r="J14" s="358">
        <v>930018.78</v>
      </c>
      <c r="K14" s="358">
        <v>867346.96999999986</v>
      </c>
      <c r="L14" s="358">
        <v>1312582.67</v>
      </c>
      <c r="M14" s="358">
        <v>930530.29</v>
      </c>
      <c r="N14" s="358">
        <v>770461.54000000015</v>
      </c>
      <c r="O14" s="352">
        <f t="shared" si="0"/>
        <v>11132675.450000001</v>
      </c>
    </row>
    <row r="15" spans="1:15" ht="15" thickTop="1">
      <c r="A15" s="345" t="s">
        <v>312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</row>
    <row r="16" spans="1:15">
      <c r="A16" s="345" t="s">
        <v>312</v>
      </c>
      <c r="B16" s="345" t="s">
        <v>314</v>
      </c>
      <c r="C16" s="352">
        <f t="shared" ref="C16:N16" si="1">C14</f>
        <v>530014.44000000006</v>
      </c>
      <c r="D16" s="352">
        <f t="shared" si="1"/>
        <v>531878.53</v>
      </c>
      <c r="E16" s="352">
        <f t="shared" si="1"/>
        <v>1384896.1500000001</v>
      </c>
      <c r="F16" s="352">
        <f t="shared" si="1"/>
        <v>1108647.96</v>
      </c>
      <c r="G16" s="352">
        <f t="shared" si="1"/>
        <v>1378146.25</v>
      </c>
      <c r="H16" s="352">
        <f t="shared" si="1"/>
        <v>799039.05999999994</v>
      </c>
      <c r="I16" s="352">
        <f t="shared" si="1"/>
        <v>589112.81000000006</v>
      </c>
      <c r="J16" s="352">
        <f t="shared" si="1"/>
        <v>930018.78</v>
      </c>
      <c r="K16" s="352">
        <f t="shared" si="1"/>
        <v>867346.96999999986</v>
      </c>
      <c r="L16" s="352">
        <f t="shared" si="1"/>
        <v>1312582.67</v>
      </c>
      <c r="M16" s="352">
        <f t="shared" si="1"/>
        <v>930530.29</v>
      </c>
      <c r="N16" s="352">
        <f t="shared" si="1"/>
        <v>770461.54000000015</v>
      </c>
    </row>
    <row r="17" spans="1:14">
      <c r="A17" s="345" t="s">
        <v>312</v>
      </c>
      <c r="B17" s="345" t="s">
        <v>315</v>
      </c>
      <c r="C17" s="352">
        <f>'CR 2005'!C16</f>
        <v>491937.24999999994</v>
      </c>
      <c r="D17" s="352">
        <f>'CR 2005'!D16</f>
        <v>469116.77</v>
      </c>
      <c r="E17" s="352">
        <f>'CR 2005'!E16</f>
        <v>1156906.9499999997</v>
      </c>
      <c r="F17" s="352">
        <f>'CR 2005'!F16</f>
        <v>957249.55</v>
      </c>
      <c r="G17" s="352">
        <f>'CR 2005'!G16</f>
        <v>763341.32</v>
      </c>
      <c r="H17" s="352">
        <f>'CR 2005'!H16</f>
        <v>629650.95000000007</v>
      </c>
      <c r="I17" s="352">
        <f>'CR 2005'!I16</f>
        <v>1045117.9400000001</v>
      </c>
      <c r="J17" s="352">
        <f>'CR 2005'!J16</f>
        <v>777725.32</v>
      </c>
      <c r="K17" s="352">
        <f>'CR 2005'!K16</f>
        <v>980047.37</v>
      </c>
      <c r="L17" s="352">
        <f>'CR 2005'!L16</f>
        <v>1077980.67</v>
      </c>
      <c r="M17" s="352">
        <f>'CR 2005'!M16</f>
        <v>825838.98</v>
      </c>
      <c r="N17" s="352">
        <f>'CR 2005'!N16</f>
        <v>703685.78</v>
      </c>
    </row>
    <row r="18" spans="1:14">
      <c r="A18" s="345" t="s">
        <v>312</v>
      </c>
      <c r="B18" s="345" t="s">
        <v>265</v>
      </c>
      <c r="C18" s="353">
        <f t="shared" ref="C18:N18" si="2">(C16/C17)-1</f>
        <v>7.7402534571228587E-2</v>
      </c>
      <c r="D18" s="353">
        <f t="shared" si="2"/>
        <v>0.13378707395175837</v>
      </c>
      <c r="E18" s="353">
        <f t="shared" si="2"/>
        <v>0.19706788000538888</v>
      </c>
      <c r="F18" s="353">
        <f t="shared" si="2"/>
        <v>0.15815981318560035</v>
      </c>
      <c r="G18" s="353">
        <f t="shared" si="2"/>
        <v>0.80541287873686707</v>
      </c>
      <c r="H18" s="353">
        <f t="shared" si="2"/>
        <v>0.26901906524559327</v>
      </c>
      <c r="I18" s="353">
        <f t="shared" si="2"/>
        <v>-0.43631930191534174</v>
      </c>
      <c r="J18" s="353">
        <f t="shared" si="2"/>
        <v>0.1958190843008687</v>
      </c>
      <c r="K18" s="353">
        <f t="shared" si="2"/>
        <v>-0.11499484968772489</v>
      </c>
      <c r="L18" s="353">
        <f t="shared" si="2"/>
        <v>0.21763098961691041</v>
      </c>
      <c r="M18" s="353">
        <f t="shared" si="2"/>
        <v>0.12676963976682232</v>
      </c>
      <c r="N18" s="353">
        <f t="shared" si="2"/>
        <v>9.4894286481105317E-2</v>
      </c>
    </row>
    <row r="20" spans="1:14">
      <c r="A20" s="359" t="s">
        <v>316</v>
      </c>
      <c r="B20" s="359" t="s">
        <v>317</v>
      </c>
      <c r="C20" s="360" t="s">
        <v>318</v>
      </c>
      <c r="D20" s="360" t="s">
        <v>319</v>
      </c>
    </row>
    <row r="21" spans="1:14">
      <c r="A21" s="345" t="s">
        <v>165</v>
      </c>
      <c r="B21" s="361" t="s">
        <v>320</v>
      </c>
      <c r="C21" s="362">
        <v>0.03</v>
      </c>
      <c r="D21" s="362">
        <v>0.04</v>
      </c>
    </row>
    <row r="22" spans="1:14">
      <c r="A22" s="345" t="s">
        <v>173</v>
      </c>
      <c r="B22" s="361" t="s">
        <v>321</v>
      </c>
      <c r="C22" s="362">
        <v>0.03</v>
      </c>
      <c r="D22" s="362"/>
    </row>
    <row r="23" spans="1:14">
      <c r="A23" s="345" t="s">
        <v>179</v>
      </c>
      <c r="B23" s="361" t="s">
        <v>322</v>
      </c>
      <c r="C23" s="362">
        <v>0.03</v>
      </c>
      <c r="D23" s="362"/>
    </row>
    <row r="24" spans="1:14">
      <c r="A24" s="345" t="s">
        <v>192</v>
      </c>
      <c r="B24" s="361" t="s">
        <v>323</v>
      </c>
      <c r="C24" s="362">
        <v>0.03</v>
      </c>
      <c r="D24" s="362">
        <v>0.04</v>
      </c>
    </row>
    <row r="25" spans="1:14">
      <c r="A25" s="345" t="s">
        <v>195</v>
      </c>
      <c r="B25" s="361" t="s">
        <v>324</v>
      </c>
      <c r="C25" s="362">
        <v>0.03</v>
      </c>
      <c r="D25" s="362">
        <v>0.04</v>
      </c>
    </row>
    <row r="26" spans="1:14">
      <c r="A26" s="345" t="s">
        <v>211</v>
      </c>
      <c r="B26" s="361" t="s">
        <v>325</v>
      </c>
      <c r="C26" s="362">
        <v>0.03</v>
      </c>
      <c r="D26" s="362">
        <v>0.04</v>
      </c>
    </row>
    <row r="27" spans="1:14">
      <c r="A27" s="345" t="s">
        <v>217</v>
      </c>
      <c r="B27" s="361" t="s">
        <v>326</v>
      </c>
      <c r="C27" s="362">
        <v>0.03</v>
      </c>
      <c r="D27" s="362"/>
    </row>
    <row r="28" spans="1:14">
      <c r="A28" s="345" t="s">
        <v>221</v>
      </c>
      <c r="B28" s="361" t="s">
        <v>327</v>
      </c>
      <c r="C28" s="362">
        <v>0.03</v>
      </c>
      <c r="D28" s="362">
        <v>0.04</v>
      </c>
    </row>
    <row r="29" spans="1:14">
      <c r="A29" s="345" t="s">
        <v>231</v>
      </c>
      <c r="B29" s="361" t="s">
        <v>328</v>
      </c>
      <c r="C29" s="362">
        <v>0.03</v>
      </c>
      <c r="D29" s="362">
        <v>0.04</v>
      </c>
    </row>
    <row r="30" spans="1:14">
      <c r="A30" s="345" t="s">
        <v>243</v>
      </c>
      <c r="B30" s="361" t="s">
        <v>329</v>
      </c>
      <c r="C30" s="362">
        <v>0.03</v>
      </c>
      <c r="D30" s="362">
        <v>0.04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>
    <tabColor rgb="FFFF0000"/>
  </sheetPr>
  <dimension ref="A1:O30"/>
  <sheetViews>
    <sheetView workbookViewId="0">
      <selection activeCell="J18" sqref="J18"/>
    </sheetView>
  </sheetViews>
  <sheetFormatPr baseColWidth="10" defaultColWidth="9.1640625" defaultRowHeight="14" x14ac:dyDescent="0"/>
  <cols>
    <col min="1" max="1" width="18.83203125" style="345" customWidth="1"/>
    <col min="2" max="2" width="12.5" style="345" bestFit="1" customWidth="1"/>
    <col min="3" max="4" width="9.83203125" style="345" bestFit="1" customWidth="1"/>
    <col min="5" max="5" width="11.33203125" style="345" bestFit="1" customWidth="1"/>
    <col min="6" max="8" width="9.83203125" style="345" bestFit="1" customWidth="1"/>
    <col min="9" max="9" width="11.33203125" style="345" bestFit="1" customWidth="1"/>
    <col min="10" max="11" width="9.83203125" style="345" bestFit="1" customWidth="1"/>
    <col min="12" max="12" width="11.33203125" style="345" bestFit="1" customWidth="1"/>
    <col min="13" max="14" width="9.83203125" style="345" bestFit="1" customWidth="1"/>
    <col min="15" max="15" width="11.33203125" style="345" bestFit="1" customWidth="1"/>
    <col min="16" max="16384" width="9.1640625" style="345"/>
  </cols>
  <sheetData>
    <row r="1" spans="1:15" ht="45">
      <c r="A1" s="343" t="s">
        <v>309</v>
      </c>
      <c r="B1" s="344"/>
    </row>
    <row r="2" spans="1:15">
      <c r="B2" s="346"/>
    </row>
    <row r="3" spans="1:15">
      <c r="A3" s="354" t="s">
        <v>310</v>
      </c>
      <c r="B3" s="355" t="s">
        <v>311</v>
      </c>
      <c r="C3" s="356">
        <v>38353</v>
      </c>
      <c r="D3" s="356">
        <v>38384</v>
      </c>
      <c r="E3" s="356">
        <v>38412</v>
      </c>
      <c r="F3" s="356">
        <v>38443</v>
      </c>
      <c r="G3" s="356">
        <v>38473</v>
      </c>
      <c r="H3" s="356">
        <v>38504</v>
      </c>
      <c r="I3" s="356">
        <v>38534</v>
      </c>
      <c r="J3" s="356">
        <v>38565</v>
      </c>
      <c r="K3" s="356">
        <v>38596</v>
      </c>
      <c r="L3" s="356">
        <v>38626</v>
      </c>
      <c r="M3" s="356">
        <v>38657</v>
      </c>
      <c r="N3" s="356">
        <v>38687</v>
      </c>
      <c r="O3" s="348" t="s">
        <v>54</v>
      </c>
    </row>
    <row r="4" spans="1:15">
      <c r="A4" s="345" t="s">
        <v>165</v>
      </c>
      <c r="B4" s="346">
        <v>6000</v>
      </c>
      <c r="C4" s="352">
        <v>16676.68</v>
      </c>
      <c r="D4" s="352">
        <v>15150.87</v>
      </c>
      <c r="E4" s="352">
        <v>32791.32</v>
      </c>
      <c r="F4" s="352">
        <v>26930.11</v>
      </c>
      <c r="G4" s="352">
        <v>22447.13</v>
      </c>
      <c r="H4" s="352">
        <v>17165.11</v>
      </c>
      <c r="I4" s="352">
        <v>40396.74</v>
      </c>
      <c r="J4" s="352">
        <v>26108.5</v>
      </c>
      <c r="K4" s="352">
        <v>32307.97</v>
      </c>
      <c r="L4" s="352">
        <v>34597.58</v>
      </c>
      <c r="M4" s="352">
        <v>26507.3</v>
      </c>
      <c r="N4" s="352">
        <v>20659.5</v>
      </c>
      <c r="O4" s="352">
        <f t="shared" ref="O4:O14" si="0">SUM(C4:N4)</f>
        <v>311738.81</v>
      </c>
    </row>
    <row r="5" spans="1:15">
      <c r="A5" s="345" t="s">
        <v>173</v>
      </c>
      <c r="B5" s="346">
        <v>7000</v>
      </c>
      <c r="C5" s="352"/>
      <c r="D5" s="352">
        <v>127.26</v>
      </c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>
        <f t="shared" si="0"/>
        <v>127.26</v>
      </c>
    </row>
    <row r="6" spans="1:15">
      <c r="A6" s="345" t="s">
        <v>179</v>
      </c>
      <c r="B6" s="346">
        <v>10000</v>
      </c>
      <c r="C6" s="352">
        <v>792.17</v>
      </c>
      <c r="D6" s="352">
        <v>941.69</v>
      </c>
      <c r="E6" s="352">
        <v>275.11</v>
      </c>
      <c r="F6" s="352">
        <v>332.77</v>
      </c>
      <c r="G6" s="352">
        <v>1596.04</v>
      </c>
      <c r="H6" s="352">
        <v>729.27</v>
      </c>
      <c r="I6" s="352">
        <v>1081.3399999999999</v>
      </c>
      <c r="J6" s="352">
        <v>4844.4399999999996</v>
      </c>
      <c r="K6" s="352">
        <v>1692.38</v>
      </c>
      <c r="L6" s="352">
        <v>1150.9100000000001</v>
      </c>
      <c r="M6" s="352">
        <v>3624.71</v>
      </c>
      <c r="N6" s="352">
        <v>850.3</v>
      </c>
      <c r="O6" s="352">
        <f t="shared" si="0"/>
        <v>17911.129999999997</v>
      </c>
    </row>
    <row r="7" spans="1:15">
      <c r="A7" s="345" t="s">
        <v>192</v>
      </c>
      <c r="B7" s="346">
        <v>15000</v>
      </c>
      <c r="C7" s="352">
        <v>330.9</v>
      </c>
      <c r="D7" s="352">
        <v>315.10000000000002</v>
      </c>
      <c r="E7" s="352">
        <v>786.26</v>
      </c>
      <c r="F7" s="352">
        <v>649.03</v>
      </c>
      <c r="G7" s="352">
        <v>516.73</v>
      </c>
      <c r="H7" s="352">
        <v>426.67</v>
      </c>
      <c r="I7" s="352">
        <v>708.43</v>
      </c>
      <c r="J7" s="352">
        <v>524.27</v>
      </c>
      <c r="K7" s="352">
        <v>662.83</v>
      </c>
      <c r="L7" s="352">
        <v>721.97</v>
      </c>
      <c r="M7" s="352">
        <v>547.1</v>
      </c>
      <c r="N7" s="352">
        <v>469.6</v>
      </c>
      <c r="O7" s="352">
        <f t="shared" si="0"/>
        <v>6658.89</v>
      </c>
    </row>
    <row r="8" spans="1:15">
      <c r="A8" s="345" t="s">
        <v>195</v>
      </c>
      <c r="B8" s="346">
        <v>18000</v>
      </c>
      <c r="C8" s="352">
        <v>415490.67</v>
      </c>
      <c r="D8" s="352">
        <v>404707.77</v>
      </c>
      <c r="E8" s="352">
        <v>1017567.73</v>
      </c>
      <c r="F8" s="352">
        <v>815305.64</v>
      </c>
      <c r="G8" s="352">
        <v>665462.74</v>
      </c>
      <c r="H8" s="352">
        <v>543832.67000000004</v>
      </c>
      <c r="I8" s="352">
        <v>885719.1</v>
      </c>
      <c r="J8" s="352">
        <v>654330.37</v>
      </c>
      <c r="K8" s="352">
        <v>838659.82</v>
      </c>
      <c r="L8" s="352">
        <v>929495.12</v>
      </c>
      <c r="M8" s="352">
        <v>699268.35</v>
      </c>
      <c r="N8" s="352">
        <v>603083.61</v>
      </c>
      <c r="O8" s="352">
        <f t="shared" si="0"/>
        <v>8472923.5899999999</v>
      </c>
    </row>
    <row r="9" spans="1:15">
      <c r="A9" s="345" t="s">
        <v>211</v>
      </c>
      <c r="B9" s="346">
        <v>21000</v>
      </c>
      <c r="C9" s="352">
        <v>926.98</v>
      </c>
      <c r="D9" s="352">
        <v>898.27</v>
      </c>
      <c r="E9" s="352">
        <v>2012.5</v>
      </c>
      <c r="F9" s="352">
        <v>1740.97</v>
      </c>
      <c r="G9" s="352">
        <v>1420.07</v>
      </c>
      <c r="H9" s="352">
        <v>3949.7</v>
      </c>
      <c r="I9" s="352">
        <v>1967.06</v>
      </c>
      <c r="J9" s="352">
        <v>1604.68</v>
      </c>
      <c r="K9" s="352">
        <v>1959.86</v>
      </c>
      <c r="L9" s="352">
        <v>2410.4499999999998</v>
      </c>
      <c r="M9" s="352">
        <v>1450.84</v>
      </c>
      <c r="N9" s="352">
        <v>1732.75</v>
      </c>
      <c r="O9" s="352">
        <f t="shared" si="0"/>
        <v>22074.13</v>
      </c>
    </row>
    <row r="10" spans="1:15">
      <c r="A10" s="345" t="s">
        <v>217</v>
      </c>
      <c r="B10" s="346">
        <v>24000</v>
      </c>
      <c r="C10" s="352">
        <v>206.23</v>
      </c>
      <c r="D10" s="352">
        <v>200.65</v>
      </c>
      <c r="E10" s="352">
        <v>99.53</v>
      </c>
      <c r="F10" s="352">
        <v>186.29</v>
      </c>
      <c r="G10" s="352">
        <v>142.12</v>
      </c>
      <c r="H10" s="352">
        <v>211.93</v>
      </c>
      <c r="I10" s="352">
        <v>126.55</v>
      </c>
      <c r="J10" s="352">
        <v>170.8</v>
      </c>
      <c r="K10" s="352">
        <v>307.37</v>
      </c>
      <c r="L10" s="352">
        <v>352.11</v>
      </c>
      <c r="M10" s="352">
        <v>251.65</v>
      </c>
      <c r="N10" s="352">
        <v>188.17</v>
      </c>
      <c r="O10" s="352">
        <f t="shared" si="0"/>
        <v>2443.4</v>
      </c>
    </row>
    <row r="11" spans="1:15">
      <c r="A11" s="345" t="s">
        <v>221</v>
      </c>
      <c r="B11" s="346">
        <v>25000</v>
      </c>
      <c r="C11" s="352">
        <v>28053.8</v>
      </c>
      <c r="D11" s="352">
        <v>24292.31</v>
      </c>
      <c r="E11" s="352">
        <v>54969.63</v>
      </c>
      <c r="F11" s="352">
        <v>73992.2</v>
      </c>
      <c r="G11" s="352">
        <v>36567.33</v>
      </c>
      <c r="H11" s="352">
        <v>28559.46</v>
      </c>
      <c r="I11" s="352">
        <v>57742.32</v>
      </c>
      <c r="J11" s="352">
        <v>44256.35</v>
      </c>
      <c r="K11" s="352">
        <v>50348.18</v>
      </c>
      <c r="L11" s="352">
        <v>57399.87</v>
      </c>
      <c r="M11" s="352">
        <v>45612.04</v>
      </c>
      <c r="N11" s="352">
        <v>36597.71</v>
      </c>
      <c r="O11" s="352">
        <f t="shared" si="0"/>
        <v>538391.19999999995</v>
      </c>
    </row>
    <row r="12" spans="1:15">
      <c r="A12" s="345" t="s">
        <v>231</v>
      </c>
      <c r="B12" s="346">
        <v>27000</v>
      </c>
      <c r="C12" s="352">
        <v>15728.15</v>
      </c>
      <c r="D12" s="352">
        <v>9330.11</v>
      </c>
      <c r="E12" s="352">
        <v>22874.48</v>
      </c>
      <c r="F12" s="352">
        <v>16349.78</v>
      </c>
      <c r="G12" s="352">
        <v>16187.89</v>
      </c>
      <c r="H12" s="352">
        <v>20043.86</v>
      </c>
      <c r="I12" s="352">
        <v>29722.91</v>
      </c>
      <c r="J12" s="352">
        <v>24172.44</v>
      </c>
      <c r="K12" s="352">
        <v>29247.72</v>
      </c>
      <c r="L12" s="352">
        <v>24542.93</v>
      </c>
      <c r="M12" s="352">
        <v>24360.13</v>
      </c>
      <c r="N12" s="352">
        <v>22462.35</v>
      </c>
      <c r="O12" s="352">
        <f t="shared" si="0"/>
        <v>255022.75</v>
      </c>
    </row>
    <row r="13" spans="1:15">
      <c r="A13" s="345" t="s">
        <v>243</v>
      </c>
      <c r="B13" s="346">
        <v>29000</v>
      </c>
      <c r="C13" s="352">
        <v>13731.67</v>
      </c>
      <c r="D13" s="352">
        <v>13152.74</v>
      </c>
      <c r="E13" s="352">
        <v>25530.39</v>
      </c>
      <c r="F13" s="352">
        <v>21762.76</v>
      </c>
      <c r="G13" s="352">
        <v>19001.27</v>
      </c>
      <c r="H13" s="352">
        <v>14732.28</v>
      </c>
      <c r="I13" s="352">
        <v>27653.49</v>
      </c>
      <c r="J13" s="352">
        <v>21713.47</v>
      </c>
      <c r="K13" s="352">
        <v>24861.24</v>
      </c>
      <c r="L13" s="352">
        <v>27309.73</v>
      </c>
      <c r="M13" s="352">
        <v>24216.86</v>
      </c>
      <c r="N13" s="352">
        <v>17641.79</v>
      </c>
      <c r="O13" s="352">
        <f t="shared" si="0"/>
        <v>251307.69000000003</v>
      </c>
    </row>
    <row r="14" spans="1:15" ht="15" thickBot="1">
      <c r="A14" s="345" t="s">
        <v>312</v>
      </c>
      <c r="B14" s="357" t="s">
        <v>313</v>
      </c>
      <c r="C14" s="358">
        <v>491937.24999999994</v>
      </c>
      <c r="D14" s="358">
        <v>469116.77</v>
      </c>
      <c r="E14" s="358">
        <v>1156906.9499999997</v>
      </c>
      <c r="F14" s="358">
        <v>957249.55</v>
      </c>
      <c r="G14" s="358">
        <v>763341.32</v>
      </c>
      <c r="H14" s="358">
        <v>629650.95000000007</v>
      </c>
      <c r="I14" s="358">
        <v>1045117.9400000001</v>
      </c>
      <c r="J14" s="358">
        <v>777725.32</v>
      </c>
      <c r="K14" s="358">
        <v>980047.37</v>
      </c>
      <c r="L14" s="358">
        <v>1077980.67</v>
      </c>
      <c r="M14" s="358">
        <v>825838.98</v>
      </c>
      <c r="N14" s="358">
        <v>703685.78</v>
      </c>
      <c r="O14" s="352">
        <f t="shared" si="0"/>
        <v>9878598.8499999996</v>
      </c>
    </row>
    <row r="15" spans="1:15" ht="15" thickTop="1">
      <c r="A15" s="345" t="s">
        <v>312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</row>
    <row r="16" spans="1:15">
      <c r="A16" s="345" t="s">
        <v>312</v>
      </c>
      <c r="B16" s="345" t="s">
        <v>314</v>
      </c>
      <c r="C16" s="352">
        <f t="shared" ref="C16:N16" si="1">C14</f>
        <v>491937.24999999994</v>
      </c>
      <c r="D16" s="352">
        <f t="shared" si="1"/>
        <v>469116.77</v>
      </c>
      <c r="E16" s="352">
        <f t="shared" si="1"/>
        <v>1156906.9499999997</v>
      </c>
      <c r="F16" s="352">
        <f t="shared" si="1"/>
        <v>957249.55</v>
      </c>
      <c r="G16" s="352">
        <f t="shared" si="1"/>
        <v>763341.32</v>
      </c>
      <c r="H16" s="352">
        <f t="shared" si="1"/>
        <v>629650.95000000007</v>
      </c>
      <c r="I16" s="352">
        <f t="shared" si="1"/>
        <v>1045117.9400000001</v>
      </c>
      <c r="J16" s="352">
        <f t="shared" si="1"/>
        <v>777725.32</v>
      </c>
      <c r="K16" s="352">
        <f t="shared" si="1"/>
        <v>980047.37</v>
      </c>
      <c r="L16" s="352">
        <f t="shared" si="1"/>
        <v>1077980.67</v>
      </c>
      <c r="M16" s="352">
        <f t="shared" si="1"/>
        <v>825838.98</v>
      </c>
      <c r="N16" s="352">
        <f t="shared" si="1"/>
        <v>703685.78</v>
      </c>
    </row>
    <row r="17" spans="1:14">
      <c r="A17" s="345" t="s">
        <v>312</v>
      </c>
      <c r="B17" s="345" t="s">
        <v>315</v>
      </c>
      <c r="C17" s="352">
        <f>'CR 2004'!C16</f>
        <v>531141.41999999993</v>
      </c>
      <c r="D17" s="352">
        <f>'CR 2004'!D16</f>
        <v>585148.37</v>
      </c>
      <c r="E17" s="352">
        <f>'CR 2004'!E16</f>
        <v>775104.72999999986</v>
      </c>
      <c r="F17" s="352">
        <f>'CR 2004'!F16</f>
        <v>912027.2</v>
      </c>
      <c r="G17" s="352">
        <f>'CR 2004'!G16</f>
        <v>759979.6</v>
      </c>
      <c r="H17" s="352">
        <f>'CR 2004'!H16</f>
        <v>640221.56999999995</v>
      </c>
      <c r="I17" s="352">
        <f>'CR 2004'!I16</f>
        <v>518547.75</v>
      </c>
      <c r="J17" s="352">
        <f>'CR 2004'!J16</f>
        <v>719289.05</v>
      </c>
      <c r="K17" s="352">
        <f>'CR 2004'!K16</f>
        <v>863375.6</v>
      </c>
      <c r="L17" s="352">
        <f>'CR 2004'!L16</f>
        <v>974864.72</v>
      </c>
      <c r="M17" s="352">
        <f>'CR 2004'!M16</f>
        <v>765359.93</v>
      </c>
      <c r="N17" s="352">
        <f>'CR 2004'!N16</f>
        <v>608592.51000000013</v>
      </c>
    </row>
    <row r="18" spans="1:14">
      <c r="A18" s="345" t="s">
        <v>312</v>
      </c>
      <c r="B18" s="345" t="s">
        <v>265</v>
      </c>
      <c r="C18" s="353">
        <f t="shared" ref="C18:N18" si="2">(C16/C17)-1</f>
        <v>-7.3811170667126613E-2</v>
      </c>
      <c r="D18" s="353">
        <f t="shared" si="2"/>
        <v>-0.19829432319874696</v>
      </c>
      <c r="E18" s="353">
        <f t="shared" si="2"/>
        <v>0.49258146057243124</v>
      </c>
      <c r="F18" s="353">
        <f t="shared" si="2"/>
        <v>4.9584431253804739E-2</v>
      </c>
      <c r="G18" s="353">
        <f t="shared" si="2"/>
        <v>4.42343452376881E-3</v>
      </c>
      <c r="H18" s="353">
        <f t="shared" si="2"/>
        <v>-1.6510877632566978E-2</v>
      </c>
      <c r="I18" s="353">
        <f t="shared" si="2"/>
        <v>1.0154709763951346</v>
      </c>
      <c r="J18" s="353">
        <f t="shared" si="2"/>
        <v>8.1241706654647139E-2</v>
      </c>
      <c r="K18" s="353">
        <f t="shared" si="2"/>
        <v>0.13513443048425278</v>
      </c>
      <c r="L18" s="353">
        <f t="shared" si="2"/>
        <v>0.10577462481153277</v>
      </c>
      <c r="M18" s="353">
        <f t="shared" si="2"/>
        <v>7.902040285803813E-2</v>
      </c>
      <c r="N18" s="353">
        <f t="shared" si="2"/>
        <v>0.15625113427702209</v>
      </c>
    </row>
    <row r="20" spans="1:14">
      <c r="A20" s="359" t="s">
        <v>316</v>
      </c>
      <c r="B20" s="359" t="s">
        <v>317</v>
      </c>
      <c r="C20" s="360" t="s">
        <v>318</v>
      </c>
      <c r="D20" s="360" t="s">
        <v>319</v>
      </c>
    </row>
    <row r="21" spans="1:14">
      <c r="A21" s="345" t="s">
        <v>165</v>
      </c>
      <c r="B21" s="361" t="s">
        <v>320</v>
      </c>
      <c r="C21" s="362">
        <v>0.03</v>
      </c>
      <c r="D21" s="362">
        <v>0.04</v>
      </c>
    </row>
    <row r="22" spans="1:14">
      <c r="A22" s="345" t="s">
        <v>173</v>
      </c>
      <c r="B22" s="361" t="s">
        <v>321</v>
      </c>
      <c r="C22" s="362">
        <v>0.03</v>
      </c>
      <c r="D22" s="362"/>
    </row>
    <row r="23" spans="1:14">
      <c r="A23" s="345" t="s">
        <v>179</v>
      </c>
      <c r="B23" s="361" t="s">
        <v>322</v>
      </c>
      <c r="C23" s="362">
        <v>0.03</v>
      </c>
      <c r="D23" s="362"/>
    </row>
    <row r="24" spans="1:14">
      <c r="A24" s="345" t="s">
        <v>192</v>
      </c>
      <c r="B24" s="361" t="s">
        <v>323</v>
      </c>
      <c r="C24" s="362">
        <v>0.03</v>
      </c>
      <c r="D24" s="362">
        <v>0.04</v>
      </c>
    </row>
    <row r="25" spans="1:14">
      <c r="A25" s="345" t="s">
        <v>195</v>
      </c>
      <c r="B25" s="361" t="s">
        <v>324</v>
      </c>
      <c r="C25" s="362">
        <v>0.03</v>
      </c>
      <c r="D25" s="362">
        <v>0.04</v>
      </c>
    </row>
    <row r="26" spans="1:14">
      <c r="A26" s="345" t="s">
        <v>211</v>
      </c>
      <c r="B26" s="361" t="s">
        <v>325</v>
      </c>
      <c r="C26" s="362">
        <v>0.03</v>
      </c>
      <c r="D26" s="362">
        <v>0.04</v>
      </c>
    </row>
    <row r="27" spans="1:14">
      <c r="A27" s="345" t="s">
        <v>217</v>
      </c>
      <c r="B27" s="361" t="s">
        <v>326</v>
      </c>
      <c r="C27" s="362">
        <v>0.03</v>
      </c>
      <c r="D27" s="362"/>
    </row>
    <row r="28" spans="1:14">
      <c r="A28" s="345" t="s">
        <v>221</v>
      </c>
      <c r="B28" s="361" t="s">
        <v>327</v>
      </c>
      <c r="C28" s="362">
        <v>0.03</v>
      </c>
      <c r="D28" s="362">
        <v>0.04</v>
      </c>
    </row>
    <row r="29" spans="1:14">
      <c r="A29" s="345" t="s">
        <v>231</v>
      </c>
      <c r="B29" s="361" t="s">
        <v>328</v>
      </c>
      <c r="C29" s="362">
        <v>0.03</v>
      </c>
      <c r="D29" s="362">
        <v>0.04</v>
      </c>
    </row>
    <row r="30" spans="1:14">
      <c r="A30" s="345" t="s">
        <v>243</v>
      </c>
      <c r="B30" s="361" t="s">
        <v>329</v>
      </c>
      <c r="C30" s="362">
        <v>0.03</v>
      </c>
      <c r="D30" s="362">
        <v>0.04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 enableFormatConditionsCalculation="0">
    <tabColor theme="1"/>
    <pageSetUpPr fitToPage="1"/>
  </sheetPr>
  <dimension ref="A1:T84"/>
  <sheetViews>
    <sheetView workbookViewId="0">
      <pane ySplit="3" topLeftCell="A4" activePane="bottomLeft" state="frozen"/>
      <selection pane="bottomLeft" activeCell="A35" sqref="A35:Q35"/>
    </sheetView>
  </sheetViews>
  <sheetFormatPr baseColWidth="10" defaultColWidth="8.83203125" defaultRowHeight="12" x14ac:dyDescent="0"/>
  <cols>
    <col min="1" max="1" width="11.33203125" bestFit="1" customWidth="1"/>
    <col min="2" max="3" width="8.6640625" bestFit="1" customWidth="1"/>
    <col min="6" max="6" width="9.5" bestFit="1" customWidth="1"/>
    <col min="9" max="10" width="9.5" bestFit="1" customWidth="1"/>
    <col min="11" max="11" width="10.5" customWidth="1"/>
    <col min="12" max="12" width="9.5" bestFit="1" customWidth="1"/>
    <col min="14" max="15" width="10.5" bestFit="1" customWidth="1"/>
    <col min="20" max="20" width="13.5" bestFit="1" customWidth="1"/>
  </cols>
  <sheetData>
    <row r="1" spans="1:19" ht="17">
      <c r="A1" s="687" t="s">
        <v>343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</row>
    <row r="2" spans="1:19" ht="13" thickBot="1">
      <c r="A2" s="47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ht="13" thickBot="1">
      <c r="A3" s="466" t="s">
        <v>42</v>
      </c>
      <c r="B3" s="467" t="s">
        <v>2</v>
      </c>
      <c r="C3" s="468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467" t="s">
        <v>8</v>
      </c>
      <c r="I3" s="467" t="s">
        <v>9</v>
      </c>
      <c r="J3" s="467" t="s">
        <v>10</v>
      </c>
      <c r="K3" s="467" t="s">
        <v>11</v>
      </c>
      <c r="L3" s="467" t="s">
        <v>12</v>
      </c>
      <c r="M3" s="469" t="s">
        <v>13</v>
      </c>
      <c r="N3" s="471" t="s">
        <v>336</v>
      </c>
      <c r="O3" s="472" t="s">
        <v>147</v>
      </c>
      <c r="P3" s="473" t="s">
        <v>16</v>
      </c>
      <c r="Q3" s="565" t="s">
        <v>58</v>
      </c>
    </row>
    <row r="4" spans="1:19">
      <c r="A4" s="92" t="s">
        <v>17</v>
      </c>
      <c r="B4" s="496">
        <f>'R 2015'!B4+'TRT 2015'!B4</f>
        <v>14348.619999999999</v>
      </c>
      <c r="C4" s="496">
        <f>'R 2015'!C4+'TRT 2015'!C4</f>
        <v>34856.480000000003</v>
      </c>
      <c r="D4" s="496">
        <f>'R 2015'!D4+'TRT 2015'!D4</f>
        <v>15251.939999999999</v>
      </c>
      <c r="E4" s="496">
        <f>'R 2015'!E4+'TRT 2015'!E4</f>
        <v>12837.37</v>
      </c>
      <c r="F4" s="496">
        <f>'R 2015'!F4+'TRT 2015'!F4</f>
        <v>30347.18</v>
      </c>
      <c r="G4" s="496">
        <f>'R 2015'!G4+'TRT 2015'!G4</f>
        <v>21773.25</v>
      </c>
      <c r="H4" s="496">
        <f>'R 2015'!H4+'TRT 2015'!H4</f>
        <v>21475.440000000002</v>
      </c>
      <c r="I4" s="496">
        <f>'R 2015'!I4+'TRT 2015'!I4</f>
        <v>54044.55</v>
      </c>
      <c r="J4" s="496">
        <f>'R 2015'!J4+'TRT 2015'!J4</f>
        <v>24784.339999999997</v>
      </c>
      <c r="K4" s="496">
        <f>'R 2015'!K4+'TRT 2015'!K4</f>
        <v>24488.5</v>
      </c>
      <c r="L4" s="496">
        <f>'R 2015'!L4+'TRT 2015'!L4</f>
        <v>60315.119999999995</v>
      </c>
      <c r="M4" s="496">
        <f>'R 2015'!M4+'TRT 2015'!M4</f>
        <v>23833.360000000001</v>
      </c>
      <c r="N4" s="497">
        <f t="shared" ref="N4:N32" si="0">SUM(B4:M4)</f>
        <v>338356.15</v>
      </c>
      <c r="O4" s="388">
        <f>SUM('TOTAL 2014'!B4:M4)</f>
        <v>311463.15999999997</v>
      </c>
      <c r="P4" s="474">
        <f>N4/O4-1</f>
        <v>8.6344047880333674E-2</v>
      </c>
      <c r="Q4" s="566">
        <f t="shared" ref="Q4:Q32" si="1">N4/$N$33</f>
        <v>2.9906279201778888E-3</v>
      </c>
    </row>
    <row r="5" spans="1:19">
      <c r="A5" s="92" t="s">
        <v>18</v>
      </c>
      <c r="B5" s="39">
        <f>'R 2015'!B5+'TRT 2015'!B5</f>
        <v>45302.45</v>
      </c>
      <c r="C5" s="39">
        <f>'R 2015'!C5+'TRT 2015'!C5</f>
        <v>70601.350000000006</v>
      </c>
      <c r="D5" s="39">
        <f>'R 2015'!D5+'TRT 2015'!D5</f>
        <v>44134.47</v>
      </c>
      <c r="E5" s="39">
        <f>'R 2015'!E5+'TRT 2015'!E5</f>
        <v>48247.32</v>
      </c>
      <c r="F5" s="39">
        <f>'R 2015'!F5+'TRT 2015'!F5</f>
        <v>78228.84</v>
      </c>
      <c r="G5" s="39">
        <f>'R 2015'!G5+'TRT 2015'!G5</f>
        <v>65259.78</v>
      </c>
      <c r="H5" s="39">
        <f>'R 2015'!H5+'TRT 2015'!H5</f>
        <v>61765.62</v>
      </c>
      <c r="I5" s="39">
        <f>'R 2015'!I5+'TRT 2015'!I5</f>
        <v>98241.81</v>
      </c>
      <c r="J5" s="39">
        <f>'R 2015'!J5+'TRT 2015'!J5</f>
        <v>66394.19</v>
      </c>
      <c r="K5" s="39">
        <f>'R 2015'!K5+'TRT 2015'!K5</f>
        <v>75872.049999999988</v>
      </c>
      <c r="L5" s="39">
        <f>'R 2015'!L5+'TRT 2015'!L5</f>
        <v>101807.53</v>
      </c>
      <c r="M5" s="39">
        <f>'R 2015'!M5+'TRT 2015'!M5</f>
        <v>57688.98</v>
      </c>
      <c r="N5" s="497">
        <f t="shared" si="0"/>
        <v>813544.39000000013</v>
      </c>
      <c r="O5" s="388">
        <f>SUM('TOTAL 2014'!B5:M5)</f>
        <v>701940.53</v>
      </c>
      <c r="P5" s="474">
        <f t="shared" ref="P5:P31" si="2">N5/O5-1</f>
        <v>0.1589933266853818</v>
      </c>
      <c r="Q5" s="566">
        <f t="shared" si="1"/>
        <v>7.1906733985420074E-3</v>
      </c>
    </row>
    <row r="6" spans="1:19">
      <c r="A6" s="92" t="s">
        <v>19</v>
      </c>
      <c r="B6" s="39">
        <f>'R 2015'!B6+'TRT 2015'!B6</f>
        <v>129603.62</v>
      </c>
      <c r="C6" s="39">
        <f>'R 2015'!C6+'TRT 2015'!C6</f>
        <v>179229.77999999997</v>
      </c>
      <c r="D6" s="39">
        <f>'R 2015'!D6+'TRT 2015'!D6</f>
        <v>128544.92</v>
      </c>
      <c r="E6" s="39">
        <f>'R 2015'!E6+'TRT 2015'!E6</f>
        <v>113472.25</v>
      </c>
      <c r="F6" s="39">
        <f>'R 2015'!F6+'TRT 2015'!F6</f>
        <v>180125.59</v>
      </c>
      <c r="G6" s="39">
        <f>'R 2015'!G6+'TRT 2015'!G6</f>
        <v>140165.38</v>
      </c>
      <c r="H6" s="39">
        <f>'R 2015'!H6+'TRT 2015'!H6</f>
        <v>131411.59</v>
      </c>
      <c r="I6" s="39">
        <f>'R 2015'!I6+'TRT 2015'!I6</f>
        <v>196864.26</v>
      </c>
      <c r="J6" s="39">
        <f>'R 2015'!J6+'TRT 2015'!J6</f>
        <v>167776.33</v>
      </c>
      <c r="K6" s="39">
        <f>'R 2015'!K6+'TRT 2015'!K6</f>
        <v>172274.48</v>
      </c>
      <c r="L6" s="39">
        <f>'R 2015'!L6+'TRT 2015'!L6</f>
        <v>217807.59</v>
      </c>
      <c r="M6" s="39">
        <f>'R 2015'!M6+'TRT 2015'!M6</f>
        <v>150796.07</v>
      </c>
      <c r="N6" s="497">
        <f t="shared" si="0"/>
        <v>1908071.86</v>
      </c>
      <c r="O6" s="388">
        <f>SUM('TOTAL 2014'!B6:M6)</f>
        <v>1662061.25</v>
      </c>
      <c r="P6" s="474">
        <f t="shared" si="2"/>
        <v>0.14801536946968707</v>
      </c>
      <c r="Q6" s="566">
        <f t="shared" si="1"/>
        <v>1.6864871462279482E-2</v>
      </c>
    </row>
    <row r="7" spans="1:19">
      <c r="A7" s="92" t="s">
        <v>20</v>
      </c>
      <c r="B7" s="39">
        <f>'R 2015'!B7+'TRT 2015'!B7</f>
        <v>22170.3</v>
      </c>
      <c r="C7" s="39">
        <f>'R 2015'!C7+'TRT 2015'!C7</f>
        <v>42994.09</v>
      </c>
      <c r="D7" s="39">
        <f>'R 2015'!D7+'TRT 2015'!D7</f>
        <v>27125.71</v>
      </c>
      <c r="E7" s="39">
        <f>'R 2015'!E7+'TRT 2015'!E7</f>
        <v>22787.82</v>
      </c>
      <c r="F7" s="39">
        <f>'R 2015'!F7+'TRT 2015'!F7</f>
        <v>54287.43</v>
      </c>
      <c r="G7" s="39">
        <f>'R 2015'!G7+'TRT 2015'!G7</f>
        <v>33961.629999999997</v>
      </c>
      <c r="H7" s="39">
        <f>'R 2015'!H7+'TRT 2015'!H7</f>
        <v>30771.360000000001</v>
      </c>
      <c r="I7" s="39">
        <f>'R 2015'!I7+'TRT 2015'!I7</f>
        <v>70342.36</v>
      </c>
      <c r="J7" s="39">
        <f>'R 2015'!J7+'TRT 2015'!J7</f>
        <v>29894.92</v>
      </c>
      <c r="K7" s="39">
        <f>'R 2015'!K7+'TRT 2015'!K7</f>
        <v>33336.01</v>
      </c>
      <c r="L7" s="39">
        <f>'R 2015'!L7+'TRT 2015'!L7</f>
        <v>74880.66</v>
      </c>
      <c r="M7" s="39">
        <f>'R 2015'!M7+'TRT 2015'!M7</f>
        <v>31346.9</v>
      </c>
      <c r="N7" s="497">
        <f t="shared" si="0"/>
        <v>473899.19000000006</v>
      </c>
      <c r="O7" s="388">
        <f>SUM('TOTAL 2014'!B7:M7)</f>
        <v>477596.75</v>
      </c>
      <c r="P7" s="618">
        <f t="shared" si="2"/>
        <v>-7.7420124822874525E-3</v>
      </c>
      <c r="Q7" s="566">
        <f t="shared" si="1"/>
        <v>4.1886519543495402E-3</v>
      </c>
    </row>
    <row r="8" spans="1:19">
      <c r="A8" s="92" t="s">
        <v>21</v>
      </c>
      <c r="B8" s="39">
        <f>'R 2015'!B8+'TRT 2015'!B8</f>
        <v>2472.31</v>
      </c>
      <c r="C8" s="39">
        <f>'R 2015'!C8+'TRT 2015'!C8</f>
        <v>2766.75</v>
      </c>
      <c r="D8" s="39">
        <f>'R 2015'!D8+'TRT 2015'!D8</f>
        <v>1743.28</v>
      </c>
      <c r="E8" s="39">
        <f>'R 2015'!E8+'TRT 2015'!E8</f>
        <v>2158.5300000000002</v>
      </c>
      <c r="F8" s="39">
        <f>'R 2015'!F8+'TRT 2015'!F8</f>
        <v>4019.97</v>
      </c>
      <c r="G8" s="39">
        <f>'R 2015'!G8+'TRT 2015'!G8</f>
        <v>7606.6500000000005</v>
      </c>
      <c r="H8" s="39">
        <f>'R 2015'!H8+'TRT 2015'!H8</f>
        <v>9983.8799999999992</v>
      </c>
      <c r="I8" s="39">
        <f>'R 2015'!I8+'TRT 2015'!I8</f>
        <v>18891.919999999998</v>
      </c>
      <c r="J8" s="39">
        <f>'R 2015'!J8+'TRT 2015'!J8</f>
        <v>17319.54</v>
      </c>
      <c r="K8" s="39">
        <f>'R 2015'!K8+'TRT 2015'!K8</f>
        <v>15296.4</v>
      </c>
      <c r="L8" s="39">
        <f>'R 2015'!L8+'TRT 2015'!L8</f>
        <v>26559.45</v>
      </c>
      <c r="M8" s="39">
        <f>'R 2015'!M8+'TRT 2015'!M8</f>
        <v>4839.29</v>
      </c>
      <c r="N8" s="497">
        <f t="shared" si="0"/>
        <v>113657.96999999997</v>
      </c>
      <c r="O8" s="388">
        <f>SUM('TOTAL 2014'!B8:M8)</f>
        <v>104443.52999999998</v>
      </c>
      <c r="P8" s="474">
        <f t="shared" si="2"/>
        <v>8.8224134132578458E-2</v>
      </c>
      <c r="Q8" s="566">
        <f t="shared" si="1"/>
        <v>1.0045885036602431E-3</v>
      </c>
    </row>
    <row r="9" spans="1:19">
      <c r="A9" s="151" t="s">
        <v>22</v>
      </c>
      <c r="B9" s="327">
        <f>'R 2015'!B9+'TRT 2015'!B9+'CR 2015'!C4</f>
        <v>351292.61</v>
      </c>
      <c r="C9" s="327">
        <f>'R 2015'!C9+'TRT 2015'!C9+'CR 2015'!D4</f>
        <v>525114.47</v>
      </c>
      <c r="D9" s="327">
        <f>'R 2015'!D9+'TRT 2015'!D9+'CR 2015'!E4</f>
        <v>399804.33999999997</v>
      </c>
      <c r="E9" s="327">
        <f>'R 2015'!E9+'TRT 2015'!E9+'CR 2015'!F4</f>
        <v>393637.26999999996</v>
      </c>
      <c r="F9" s="327">
        <f>'R 2015'!F9+'TRT 2015'!F9+'CR 2015'!G4</f>
        <v>563058</v>
      </c>
      <c r="G9" s="327">
        <f>'R 2015'!G9+'TRT 2015'!G9+'CR 2015'!H4</f>
        <v>448559.93000000005</v>
      </c>
      <c r="H9" s="327">
        <f>'R 2015'!H9+'TRT 2015'!H9+'CR 2015'!I4</f>
        <v>476092.23</v>
      </c>
      <c r="I9" s="327">
        <f>'R 2015'!I9+'TRT 2015'!I9+'CR 2015'!J4</f>
        <v>640809.37999999989</v>
      </c>
      <c r="J9" s="327">
        <f>'R 2015'!J9+'TRT 2015'!J9+'CR 2015'!K4</f>
        <v>618218.52</v>
      </c>
      <c r="K9" s="327">
        <f>'R 2015'!K9+'TRT 2015'!K9+'CR 2015'!L4</f>
        <v>583525.22</v>
      </c>
      <c r="L9" s="327">
        <f>'R 2015'!L9+'TRT 2015'!L9+'CR 2015'!M4</f>
        <v>551146.72</v>
      </c>
      <c r="M9" s="327">
        <f>'R 2015'!M9+'TRT 2015'!M9+'CR 2015'!N4</f>
        <v>503224.11</v>
      </c>
      <c r="N9" s="497">
        <f t="shared" si="0"/>
        <v>6054482.7999999998</v>
      </c>
      <c r="O9" s="388">
        <f>SUM('TOTAL 2014'!B9:M9)</f>
        <v>5428707.0699999994</v>
      </c>
      <c r="P9" s="474">
        <f t="shared" si="2"/>
        <v>0.11527159633610529</v>
      </c>
      <c r="Q9" s="566">
        <f t="shared" si="1"/>
        <v>5.3513746695358716E-2</v>
      </c>
    </row>
    <row r="10" spans="1:19">
      <c r="A10" s="151" t="s">
        <v>23</v>
      </c>
      <c r="B10" s="327">
        <f>'R 2015'!B10+'TRT 2015'!B10+'CR 2015'!C5</f>
        <v>19217.259999999998</v>
      </c>
      <c r="C10" s="327">
        <f>'R 2015'!C10+'TRT 2015'!C10+'CR 2015'!D5</f>
        <v>34867.74</v>
      </c>
      <c r="D10" s="327">
        <f>'R 2015'!D10+'TRT 2015'!D10+'CR 2015'!E5</f>
        <v>11526.79</v>
      </c>
      <c r="E10" s="327">
        <f>'R 2015'!E10+'TRT 2015'!E10+'CR 2015'!F5</f>
        <v>15344.11</v>
      </c>
      <c r="F10" s="327">
        <f>'R 2015'!F10+'TRT 2015'!F10+'CR 2015'!G5</f>
        <v>29948.78</v>
      </c>
      <c r="G10" s="327">
        <f>'R 2015'!G10+'TRT 2015'!G10+'CR 2015'!H5</f>
        <v>16028.060000000001</v>
      </c>
      <c r="H10" s="327">
        <f>'R 2015'!H10+'TRT 2015'!H10+'CR 2015'!I5</f>
        <v>15974.46</v>
      </c>
      <c r="I10" s="327">
        <f>'R 2015'!I10+'TRT 2015'!I10+'CR 2015'!J5</f>
        <v>28290.81</v>
      </c>
      <c r="J10" s="327">
        <f>'R 2015'!J10+'TRT 2015'!J10+'CR 2015'!K5</f>
        <v>20525.63</v>
      </c>
      <c r="K10" s="327">
        <f>'R 2015'!K10+'TRT 2015'!K10+'CR 2015'!L5</f>
        <v>27934.79</v>
      </c>
      <c r="L10" s="327">
        <f>'R 2015'!L10+'TRT 2015'!L10+'CR 2015'!M5</f>
        <v>25806.58</v>
      </c>
      <c r="M10" s="327">
        <f>'R 2015'!M10+'TRT 2015'!M10+'CR 2015'!N5</f>
        <v>13612.95</v>
      </c>
      <c r="N10" s="497">
        <f t="shared" si="0"/>
        <v>259077.96000000002</v>
      </c>
      <c r="O10" s="388">
        <f>SUM('TOTAL 2014'!B10:M10)</f>
        <v>288243.79000000004</v>
      </c>
      <c r="P10" s="618">
        <f t="shared" si="2"/>
        <v>-0.10118459100194321</v>
      </c>
      <c r="Q10" s="566">
        <f t="shared" si="1"/>
        <v>2.289911918783596E-3</v>
      </c>
    </row>
    <row r="11" spans="1:19">
      <c r="A11" s="151" t="s">
        <v>51</v>
      </c>
      <c r="B11" s="327">
        <f>'R 2015'!B11+'TRT 2015'!B11</f>
        <v>16376.400000000001</v>
      </c>
      <c r="C11" s="327">
        <f>'R 2015'!C11+'TRT 2015'!C11</f>
        <v>23649.91</v>
      </c>
      <c r="D11" s="327">
        <f>'R 2015'!D11+'TRT 2015'!D11</f>
        <v>12942.890000000001</v>
      </c>
      <c r="E11" s="327">
        <f>'R 2015'!E11+'TRT 2015'!E11</f>
        <v>7199.08</v>
      </c>
      <c r="F11" s="327">
        <f>'R 2015'!F11+'TRT 2015'!F11</f>
        <v>35657.74</v>
      </c>
      <c r="G11" s="327">
        <f>'R 2015'!G11+'TRT 2015'!G11</f>
        <v>42192.61</v>
      </c>
      <c r="H11" s="327">
        <f>'R 2015'!H11+'TRT 2015'!H11</f>
        <v>47448.82</v>
      </c>
      <c r="I11" s="327">
        <f>'R 2015'!I11+'TRT 2015'!I11</f>
        <v>78922.150000000009</v>
      </c>
      <c r="J11" s="327">
        <f>'R 2015'!J11+'TRT 2015'!J11</f>
        <v>45341.27</v>
      </c>
      <c r="K11" s="327">
        <f>'R 2015'!K11+'TRT 2015'!K11</f>
        <v>38528.870000000003</v>
      </c>
      <c r="L11" s="327">
        <f>'R 2015'!L11+'TRT 2015'!L11</f>
        <v>74367.58</v>
      </c>
      <c r="M11" s="327">
        <f>'R 2015'!M11+'TRT 2015'!M11</f>
        <v>34626.229999999996</v>
      </c>
      <c r="N11" s="498">
        <f t="shared" si="0"/>
        <v>457253.55000000005</v>
      </c>
      <c r="O11" s="388">
        <f>SUM('TOTAL 2014'!B11:M11)</f>
        <v>413190.68900000001</v>
      </c>
      <c r="P11" s="474">
        <f t="shared" si="2"/>
        <v>0.10664049837773582</v>
      </c>
      <c r="Q11" s="566">
        <f t="shared" si="1"/>
        <v>4.0415261647540803E-3</v>
      </c>
    </row>
    <row r="12" spans="1:19">
      <c r="A12" s="151" t="s">
        <v>24</v>
      </c>
      <c r="B12" s="327">
        <f>'R 2015'!B12+'TRT 2015'!B12</f>
        <v>50854.649999999994</v>
      </c>
      <c r="C12" s="327">
        <f>'R 2015'!C12+'TRT 2015'!C12</f>
        <v>51118.01</v>
      </c>
      <c r="D12" s="327">
        <f>'R 2015'!D12+'TRT 2015'!D12</f>
        <v>19684.5</v>
      </c>
      <c r="E12" s="327">
        <f>'R 2015'!E12+'TRT 2015'!E12</f>
        <v>35184.400000000001</v>
      </c>
      <c r="F12" s="327">
        <f>'R 2015'!F12+'TRT 2015'!F12</f>
        <v>79143.429999999993</v>
      </c>
      <c r="G12" s="327">
        <f>'R 2015'!G12+'TRT 2015'!G12</f>
        <v>129494.66</v>
      </c>
      <c r="H12" s="327">
        <f>'R 2015'!H12+'TRT 2015'!H12</f>
        <v>202012.76</v>
      </c>
      <c r="I12" s="327">
        <f>'R 2015'!I12+'TRT 2015'!I12</f>
        <v>328937.55</v>
      </c>
      <c r="J12" s="327">
        <f>'R 2015'!J12+'TRT 2015'!J12</f>
        <v>226955.9</v>
      </c>
      <c r="K12" s="327">
        <f>'R 2015'!K12+'TRT 2015'!K12</f>
        <v>241570.56</v>
      </c>
      <c r="L12" s="327">
        <f>'R 2015'!L12+'TRT 2015'!L12</f>
        <v>357509.62</v>
      </c>
      <c r="M12" s="327">
        <f>'R 2015'!M12+'TRT 2015'!M12</f>
        <v>156770.25</v>
      </c>
      <c r="N12" s="497">
        <f t="shared" si="0"/>
        <v>1879236.29</v>
      </c>
      <c r="O12" s="388">
        <f>SUM('TOTAL 2014'!B12:M12)</f>
        <v>1676148.433</v>
      </c>
      <c r="P12" s="474">
        <f t="shared" si="2"/>
        <v>0.12116340832447037</v>
      </c>
      <c r="Q12" s="566">
        <f t="shared" si="1"/>
        <v>1.6610002559390488E-2</v>
      </c>
      <c r="S12" s="477"/>
    </row>
    <row r="13" spans="1:19">
      <c r="A13" s="151" t="s">
        <v>25</v>
      </c>
      <c r="B13" s="327">
        <f>'R 2015'!B13+'TRT 2015'!B13+'CR 2015'!C6</f>
        <v>150223.87</v>
      </c>
      <c r="C13" s="327">
        <f>'R 2015'!C13+'TRT 2015'!C13+'CR 2015'!D6</f>
        <v>148054.09999999998</v>
      </c>
      <c r="D13" s="327">
        <f>'R 2015'!D13+'TRT 2015'!D13+'CR 2015'!E6</f>
        <v>54954.299999999996</v>
      </c>
      <c r="E13" s="327">
        <f>'R 2015'!E13+'TRT 2015'!E13+'CR 2015'!F6</f>
        <v>113177.02</v>
      </c>
      <c r="F13" s="327">
        <f>'R 2015'!F13+'TRT 2015'!F13+'CR 2015'!G6</f>
        <v>385985.39</v>
      </c>
      <c r="G13" s="327">
        <f>'R 2015'!G13+'TRT 2015'!G13+'CR 2015'!H6</f>
        <v>464607.99000000005</v>
      </c>
      <c r="H13" s="327">
        <f>'R 2015'!H13+'TRT 2015'!H13+'CR 2015'!I6</f>
        <v>593555.03999999992</v>
      </c>
      <c r="I13" s="327">
        <f>'R 2015'!I13+'TRT 2015'!I13+'CR 2015'!J6</f>
        <v>595571.89</v>
      </c>
      <c r="J13" s="327">
        <f>'R 2015'!J13+'TRT 2015'!J13+'CR 2015'!K6</f>
        <v>488074.4</v>
      </c>
      <c r="K13" s="327">
        <f>'R 2015'!K13+'TRT 2015'!K13+'CR 2015'!L6</f>
        <v>473327.8</v>
      </c>
      <c r="L13" s="327">
        <f>'R 2015'!L13+'TRT 2015'!L13+'CR 2015'!M6</f>
        <v>643463.32999999996</v>
      </c>
      <c r="M13" s="327">
        <f>'R 2015'!M13+'TRT 2015'!M13+'CR 2015'!N6</f>
        <v>409494.58</v>
      </c>
      <c r="N13" s="497">
        <f t="shared" si="0"/>
        <v>4520489.71</v>
      </c>
      <c r="O13" s="388">
        <f>SUM('TOTAL 2014'!B13:M13)</f>
        <v>3927850.169999999</v>
      </c>
      <c r="P13" s="474">
        <f t="shared" si="2"/>
        <v>0.15088140187384003</v>
      </c>
      <c r="Q13" s="566">
        <f t="shared" si="1"/>
        <v>3.9955244613118002E-2</v>
      </c>
    </row>
    <row r="14" spans="1:19">
      <c r="A14" s="151" t="s">
        <v>26</v>
      </c>
      <c r="B14" s="327">
        <f>'R 2015'!B14+'TRT 2015'!B14</f>
        <v>79742.14</v>
      </c>
      <c r="C14" s="327">
        <f>'R 2015'!C14+'TRT 2015'!C14</f>
        <v>152441.21999999997</v>
      </c>
      <c r="D14" s="327">
        <f>'R 2015'!D14+'TRT 2015'!D14</f>
        <v>98205.34</v>
      </c>
      <c r="E14" s="327">
        <f>'R 2015'!E14+'TRT 2015'!E14</f>
        <v>113788.82</v>
      </c>
      <c r="F14" s="327">
        <f>'R 2015'!F14+'TRT 2015'!F14</f>
        <v>148539.35</v>
      </c>
      <c r="G14" s="327">
        <f>'R 2015'!G14+'TRT 2015'!G14</f>
        <v>150673.94</v>
      </c>
      <c r="H14" s="327">
        <f>'R 2015'!H14+'TRT 2015'!H14</f>
        <v>135146.14000000001</v>
      </c>
      <c r="I14" s="327">
        <f>'R 2015'!I14+'TRT 2015'!I14</f>
        <v>209593.98</v>
      </c>
      <c r="J14" s="327">
        <f>'R 2015'!J14+'TRT 2015'!J14</f>
        <v>193988.96</v>
      </c>
      <c r="K14" s="327">
        <f>'R 2015'!K14+'TRT 2015'!K14</f>
        <v>168001.97</v>
      </c>
      <c r="L14" s="327">
        <f>'R 2015'!L14+'TRT 2015'!L14</f>
        <v>196207.59</v>
      </c>
      <c r="M14" s="327">
        <f>'R 2015'!M14+'TRT 2015'!M14</f>
        <v>150923.99</v>
      </c>
      <c r="N14" s="497">
        <f t="shared" si="0"/>
        <v>1797253.4400000002</v>
      </c>
      <c r="O14" s="388">
        <f>SUM('TOTAL 2014'!B14:M14)</f>
        <v>1638004.12</v>
      </c>
      <c r="P14" s="474">
        <f t="shared" si="2"/>
        <v>9.7221562544055118E-2</v>
      </c>
      <c r="Q14" s="566">
        <f t="shared" si="1"/>
        <v>1.588538088431304E-2</v>
      </c>
    </row>
    <row r="15" spans="1:19">
      <c r="A15" s="151" t="s">
        <v>27</v>
      </c>
      <c r="B15" s="327">
        <f>'R 2015'!B15+'TRT 2015'!B15</f>
        <v>9345.64</v>
      </c>
      <c r="C15" s="327">
        <f>'R 2015'!C15+'TRT 2015'!C15</f>
        <v>24831.72</v>
      </c>
      <c r="D15" s="327">
        <f>'R 2015'!D15+'TRT 2015'!D15</f>
        <v>9250.09</v>
      </c>
      <c r="E15" s="327">
        <f>'R 2015'!E15+'TRT 2015'!E15</f>
        <v>6426.48</v>
      </c>
      <c r="F15" s="327">
        <f>'R 2015'!F15+'TRT 2015'!F15</f>
        <v>24595.269999999997</v>
      </c>
      <c r="G15" s="327">
        <f>'R 2015'!G15+'TRT 2015'!G15</f>
        <v>14388.310000000001</v>
      </c>
      <c r="H15" s="327">
        <f>'R 2015'!H15+'TRT 2015'!H15</f>
        <v>12951.87</v>
      </c>
      <c r="I15" s="327">
        <f>'R 2015'!I15+'TRT 2015'!I15</f>
        <v>35126.080000000002</v>
      </c>
      <c r="J15" s="327">
        <f>'R 2015'!J15+'TRT 2015'!J15</f>
        <v>9038.5</v>
      </c>
      <c r="K15" s="327">
        <f>'R 2015'!K15+'TRT 2015'!K15</f>
        <v>12290.560000000001</v>
      </c>
      <c r="L15" s="327">
        <f>'R 2015'!L15+'TRT 2015'!L15</f>
        <v>37039.1</v>
      </c>
      <c r="M15" s="327">
        <f>'R 2015'!M15+'TRT 2015'!M15</f>
        <v>9534.2900000000009</v>
      </c>
      <c r="N15" s="497">
        <f t="shared" si="0"/>
        <v>204817.90999999997</v>
      </c>
      <c r="O15" s="388">
        <f>SUM('TOTAL 2014'!B15:M15)</f>
        <v>185703.04000000004</v>
      </c>
      <c r="P15" s="474">
        <f t="shared" si="2"/>
        <v>0.10293245603302958</v>
      </c>
      <c r="Q15" s="566">
        <f t="shared" si="1"/>
        <v>1.8103237083129178E-3</v>
      </c>
    </row>
    <row r="16" spans="1:19">
      <c r="A16" s="151" t="s">
        <v>28</v>
      </c>
      <c r="B16" s="327">
        <f>'R 2015'!B16+'TRT 2015'!B16</f>
        <v>62583.65</v>
      </c>
      <c r="C16" s="327">
        <f>'R 2015'!C16+'TRT 2015'!C16</f>
        <v>85652.409999999989</v>
      </c>
      <c r="D16" s="327">
        <f>'R 2015'!D16+'TRT 2015'!D16</f>
        <v>46290.64</v>
      </c>
      <c r="E16" s="327">
        <f>'R 2015'!E16+'TRT 2015'!E16</f>
        <v>94505.72</v>
      </c>
      <c r="F16" s="327">
        <f>'R 2015'!F16+'TRT 2015'!F16</f>
        <v>145122.34000000003</v>
      </c>
      <c r="G16" s="327">
        <f>'R 2015'!G16+'TRT 2015'!G16</f>
        <v>173551.42</v>
      </c>
      <c r="H16" s="327">
        <f>'R 2015'!H16+'TRT 2015'!H16</f>
        <v>197669.93</v>
      </c>
      <c r="I16" s="327">
        <f>'R 2015'!I16+'TRT 2015'!I16</f>
        <v>303699.00999999995</v>
      </c>
      <c r="J16" s="327">
        <f>'R 2015'!J16+'TRT 2015'!J16</f>
        <v>235601.13999999998</v>
      </c>
      <c r="K16" s="327">
        <f>'R 2015'!K16+'TRT 2015'!K16</f>
        <v>248456.41</v>
      </c>
      <c r="L16" s="327">
        <f>'R 2015'!L16+'TRT 2015'!L16</f>
        <v>341894.37</v>
      </c>
      <c r="M16" s="327">
        <f>'R 2015'!M16+'TRT 2015'!M16</f>
        <v>157396.04999999999</v>
      </c>
      <c r="N16" s="497">
        <f t="shared" si="0"/>
        <v>2092423.09</v>
      </c>
      <c r="O16" s="388">
        <f>SUM('TOTAL 2014'!B16:M16)</f>
        <v>1872894.3</v>
      </c>
      <c r="P16" s="474">
        <f t="shared" si="2"/>
        <v>0.11721365695864416</v>
      </c>
      <c r="Q16" s="566">
        <f t="shared" si="1"/>
        <v>1.8494296361330778E-2</v>
      </c>
    </row>
    <row r="17" spans="1:20">
      <c r="A17" s="151" t="s">
        <v>52</v>
      </c>
      <c r="B17" s="327">
        <f>'TRT 2015'!B17+'R 2015'!B17</f>
        <v>5552.83</v>
      </c>
      <c r="C17" s="327">
        <f>'TRT 2015'!C17+'R 2015'!C17</f>
        <v>6696.29</v>
      </c>
      <c r="D17" s="327">
        <f>'TRT 2015'!D17+'R 2015'!D17</f>
        <v>5364.34</v>
      </c>
      <c r="E17" s="327">
        <f>'TRT 2015'!E17+'R 2015'!E17</f>
        <v>6574.01</v>
      </c>
      <c r="F17" s="327">
        <f>'TRT 2015'!F17+'R 2015'!F17</f>
        <v>11488.67</v>
      </c>
      <c r="G17" s="327">
        <f>'TRT 2015'!G17+'R 2015'!G17</f>
        <v>15275.92</v>
      </c>
      <c r="H17" s="327">
        <f>'TRT 2015'!H17+'R 2015'!H17</f>
        <v>14246.95</v>
      </c>
      <c r="I17" s="327">
        <f>'TRT 2015'!I17</f>
        <v>19172.439999999999</v>
      </c>
      <c r="J17" s="327">
        <f>'TRT 2015'!J17</f>
        <v>12659.55</v>
      </c>
      <c r="K17" s="327">
        <f>'TRT 2015'!K17</f>
        <v>11537.32</v>
      </c>
      <c r="L17" s="327">
        <f>'TRT 2015'!L17</f>
        <v>18986</v>
      </c>
      <c r="M17" s="327">
        <f>'TRT 2015'!M17</f>
        <v>9016</v>
      </c>
      <c r="N17" s="497">
        <f t="shared" si="0"/>
        <v>136570.32</v>
      </c>
      <c r="O17" s="388">
        <f>SUM('TOTAL 2014'!B17:M17)</f>
        <v>115272.69</v>
      </c>
      <c r="P17" s="474">
        <f t="shared" si="2"/>
        <v>0.18475867961439962</v>
      </c>
      <c r="Q17" s="566">
        <f t="shared" si="1"/>
        <v>1.2071038521381352E-3</v>
      </c>
    </row>
    <row r="18" spans="1:20">
      <c r="A18" s="151" t="s">
        <v>29</v>
      </c>
      <c r="B18" s="327">
        <f>'R 2015'!B18+'TRT 2015'!B18+'CR 2015'!C7</f>
        <v>4496.7</v>
      </c>
      <c r="C18" s="327">
        <f>'R 2015'!C18+'TRT 2015'!C18+'CR 2015'!D7</f>
        <v>4686.6499999999996</v>
      </c>
      <c r="D18" s="327">
        <f>'R 2015'!D18+'TRT 2015'!D18+'CR 2015'!E7</f>
        <v>3679.01</v>
      </c>
      <c r="E18" s="327">
        <f>'R 2015'!E18+'TRT 2015'!E18+'CR 2015'!F7</f>
        <v>3450.89</v>
      </c>
      <c r="F18" s="327">
        <f>'R 2015'!F18+'TRT 2015'!F18+'CR 2015'!G7</f>
        <v>5401.09</v>
      </c>
      <c r="G18" s="327">
        <f>'R 2015'!G18+'TRT 2015'!G18+'CR 2015'!H7</f>
        <v>4491.57</v>
      </c>
      <c r="H18" s="327">
        <f>'R 2015'!H18+'TRT 2015'!H18+'CR 2015'!I7</f>
        <v>6348.9</v>
      </c>
      <c r="I18" s="327">
        <f>'R 2015'!I18+'TRT 2015'!I18+'CR 2015'!J7</f>
        <v>5908.22</v>
      </c>
      <c r="J18" s="327">
        <f>'R 2015'!J18+'TRT 2015'!J18+'CR 2015'!K7</f>
        <v>5770.03</v>
      </c>
      <c r="K18" s="327">
        <f>'R 2015'!K18+'TRT 2015'!K18+'CR 2015'!L7</f>
        <v>6849.8200000000006</v>
      </c>
      <c r="L18" s="327">
        <f>'R 2015'!L18+'TRT 2015'!L18+'CR 2015'!M7</f>
        <v>7036.97</v>
      </c>
      <c r="M18" s="327">
        <f>'R 2015'!M18+'TRT 2015'!M18+'CR 2015'!N7</f>
        <v>5196.2300000000005</v>
      </c>
      <c r="N18" s="497">
        <f t="shared" si="0"/>
        <v>63316.08</v>
      </c>
      <c r="O18" s="388">
        <f>SUM('TOTAL 2014'!B18:M18)</f>
        <v>58215.719999999994</v>
      </c>
      <c r="P18" s="474">
        <f t="shared" si="2"/>
        <v>8.7611387439681332E-2</v>
      </c>
      <c r="Q18" s="566">
        <f t="shared" si="1"/>
        <v>5.5963172723243486E-4</v>
      </c>
    </row>
    <row r="19" spans="1:20">
      <c r="A19" s="151" t="s">
        <v>53</v>
      </c>
      <c r="B19" s="327">
        <f>'TRT 2015'!B19</f>
        <v>754.04</v>
      </c>
      <c r="C19" s="327">
        <f>'TRT 2015'!C19</f>
        <v>1977.83</v>
      </c>
      <c r="D19" s="327">
        <f>'TRT 2015'!D19</f>
        <v>4.8499999999999996</v>
      </c>
      <c r="E19" s="327">
        <f>'TRT 2015'!E19</f>
        <v>108.53</v>
      </c>
      <c r="F19" s="327">
        <f>'TRT 2015'!F19</f>
        <v>442.05</v>
      </c>
      <c r="G19" s="327">
        <f>'TRT 2015'!G19</f>
        <v>610.51</v>
      </c>
      <c r="H19" s="327">
        <f>'TRT 2015'!H19</f>
        <v>2039.96</v>
      </c>
      <c r="I19" s="327">
        <f>'TRT 2015'!I19</f>
        <v>4631.12</v>
      </c>
      <c r="J19" s="327">
        <f>'TRT 2015'!J19</f>
        <v>88.86</v>
      </c>
      <c r="K19" s="327">
        <f>'TRT 2015'!K19</f>
        <v>3788.05</v>
      </c>
      <c r="L19" s="327">
        <f>'TRT 2015'!L19</f>
        <v>10292.879999999999</v>
      </c>
      <c r="M19" s="327">
        <f>'TRT 2015'!M19</f>
        <v>296</v>
      </c>
      <c r="N19" s="497">
        <f t="shared" si="0"/>
        <v>25034.68</v>
      </c>
      <c r="O19" s="388">
        <f>SUM('TOTAL 2014'!B19:M19)</f>
        <v>24098.309999999998</v>
      </c>
      <c r="P19" s="474">
        <f t="shared" si="2"/>
        <v>3.8856251745454484E-2</v>
      </c>
      <c r="Q19" s="566">
        <f t="shared" si="1"/>
        <v>2.212739829931242E-4</v>
      </c>
    </row>
    <row r="20" spans="1:20">
      <c r="A20" s="151" t="s">
        <v>30</v>
      </c>
      <c r="B20" s="327">
        <f>'R 2015'!B19+'TRT 2015'!B20</f>
        <v>4566.3399999999992</v>
      </c>
      <c r="C20" s="327">
        <f>'R 2015'!C19+'TRT 2015'!C20</f>
        <v>7767.46</v>
      </c>
      <c r="D20" s="327">
        <f>'R 2015'!D19+'TRT 2015'!D20</f>
        <v>432.26</v>
      </c>
      <c r="E20" s="327">
        <f>'R 2015'!E19+'TRT 2015'!E20</f>
        <v>10967.02</v>
      </c>
      <c r="F20" s="327">
        <f>'R 2015'!F19+'TRT 2015'!F20</f>
        <v>15236.14</v>
      </c>
      <c r="G20" s="327">
        <f>'R 2015'!G19+'TRT 2015'!G20</f>
        <v>3588.6400000000003</v>
      </c>
      <c r="H20" s="327">
        <f>'R 2015'!H19+'TRT 2015'!H20</f>
        <v>10737.35</v>
      </c>
      <c r="I20" s="327">
        <f>'R 2015'!I19+'TRT 2015'!I20</f>
        <v>40161.93</v>
      </c>
      <c r="J20" s="327">
        <f>'R 2015'!J19+'TRT 2015'!J20</f>
        <v>39291.479999999996</v>
      </c>
      <c r="K20" s="327">
        <f>'R 2015'!K19+'TRT 2015'!K20</f>
        <v>45111.27</v>
      </c>
      <c r="L20" s="327">
        <f>'R 2015'!L19+'TRT 2015'!L20</f>
        <v>72137.87</v>
      </c>
      <c r="M20" s="327">
        <f>'R 2015'!M19+'TRT 2015'!M20</f>
        <v>13498.28</v>
      </c>
      <c r="N20" s="497">
        <f t="shared" si="0"/>
        <v>263496.03999999998</v>
      </c>
      <c r="O20" s="388">
        <f>SUM('TOTAL 2014'!B20:M20)</f>
        <v>213192.42</v>
      </c>
      <c r="P20" s="474">
        <f t="shared" si="2"/>
        <v>0.23595407378930244</v>
      </c>
      <c r="Q20" s="566">
        <f t="shared" si="1"/>
        <v>2.3289619948693402E-3</v>
      </c>
    </row>
    <row r="21" spans="1:20">
      <c r="A21" s="151" t="s">
        <v>31</v>
      </c>
      <c r="B21" s="327">
        <f>'R 2015'!B20+'TRT 2015'!B21+'CR 2015'!C8</f>
        <v>2808698.8</v>
      </c>
      <c r="C21" s="327">
        <f>'R 2015'!C20+'TRT 2015'!C21+'CR 2015'!D8</f>
        <v>4254802.4399999995</v>
      </c>
      <c r="D21" s="327">
        <f>'R 2015'!D20+'TRT 2015'!D21+'CR 2015'!E8</f>
        <v>4228218.17</v>
      </c>
      <c r="E21" s="327">
        <f>'R 2015'!E20+'TRT 2015'!E21+'CR 2015'!F8</f>
        <v>4047098.6</v>
      </c>
      <c r="F21" s="327">
        <f>'R 2015'!F20+'TRT 2015'!F21+'CR 2015'!G8</f>
        <v>5271457.84</v>
      </c>
      <c r="G21" s="327">
        <f>'R 2015'!G20+'TRT 2015'!G21+'CR 2015'!H8</f>
        <v>3725308.8100000005</v>
      </c>
      <c r="H21" s="327">
        <f>'R 2015'!H20+'TRT 2015'!H21+'CR 2015'!I8</f>
        <v>3598675.39</v>
      </c>
      <c r="I21" s="327">
        <f>'R 2015'!I20+'TRT 2015'!I21+'CR 2015'!J8</f>
        <v>4777497.91</v>
      </c>
      <c r="J21" s="327">
        <f>'R 2015'!J20+'TRT 2015'!J21+'CR 2015'!K8</f>
        <v>4524962.2300000004</v>
      </c>
      <c r="K21" s="327">
        <f>'R 2015'!K20+'TRT 2015'!K21+'CR 2015'!L8</f>
        <v>4778911.09</v>
      </c>
      <c r="L21" s="327">
        <f>'R 2015'!L20+'TRT 2015'!L21+'CR 2015'!M8</f>
        <v>4647635.51</v>
      </c>
      <c r="M21" s="327">
        <f>'R 2015'!M20+'TRT 2015'!M21+'CR 2015'!N8</f>
        <v>4011289.66</v>
      </c>
      <c r="N21" s="497">
        <f t="shared" si="0"/>
        <v>50674556.450000003</v>
      </c>
      <c r="O21" s="388">
        <f>SUM('TOTAL 2014'!B21:M21)</f>
        <v>46008513.549999997</v>
      </c>
      <c r="P21" s="474">
        <f t="shared" si="2"/>
        <v>0.10141694525577671</v>
      </c>
      <c r="Q21" s="566">
        <f t="shared" si="1"/>
        <v>0.4478971148063971</v>
      </c>
    </row>
    <row r="22" spans="1:20">
      <c r="A22" s="151" t="s">
        <v>45</v>
      </c>
      <c r="B22" s="327">
        <f>'R 2015'!B21+'TRT 2015'!B22</f>
        <v>28112.489999999998</v>
      </c>
      <c r="C22" s="327">
        <f>'R 2015'!C21+'TRT 2015'!C22</f>
        <v>33097.03</v>
      </c>
      <c r="D22" s="327">
        <f>'R 2015'!D21+'TRT 2015'!D22</f>
        <v>9960.92</v>
      </c>
      <c r="E22" s="327">
        <f>'R 2015'!E21+'TRT 2015'!E22</f>
        <v>25157.4</v>
      </c>
      <c r="F22" s="327">
        <f>'R 2015'!F21+'TRT 2015'!F22</f>
        <v>56139.41</v>
      </c>
      <c r="G22" s="327">
        <f>'R 2015'!G21+'TRT 2015'!G22</f>
        <v>57105.32</v>
      </c>
      <c r="H22" s="327">
        <f>'R 2015'!H21+'TRT 2015'!H22</f>
        <v>80689.34</v>
      </c>
      <c r="I22" s="327">
        <f>'R 2015'!I21+'TRT 2015'!I22</f>
        <v>123698.53</v>
      </c>
      <c r="J22" s="327">
        <f>'R 2015'!J21+'TRT 2015'!J22</f>
        <v>87223.420000000013</v>
      </c>
      <c r="K22" s="327">
        <f>'R 2015'!K21+'TRT 2015'!K22</f>
        <v>107154.73</v>
      </c>
      <c r="L22" s="327">
        <f>'R 2015'!L21+'TRT 2015'!L22</f>
        <v>127823.95</v>
      </c>
      <c r="M22" s="327">
        <f>'R 2015'!M21+'TRT 2015'!M22</f>
        <v>46995.729999999996</v>
      </c>
      <c r="N22" s="497">
        <f t="shared" si="0"/>
        <v>783158.27</v>
      </c>
      <c r="O22" s="388">
        <f>SUM('TOTAL 2014'!B22:M22)</f>
        <v>719589.94</v>
      </c>
      <c r="P22" s="474">
        <f t="shared" si="2"/>
        <v>8.8339659111966062E-2</v>
      </c>
      <c r="Q22" s="566">
        <f t="shared" si="1"/>
        <v>6.9220996520388744E-3</v>
      </c>
    </row>
    <row r="23" spans="1:20">
      <c r="A23" s="151" t="s">
        <v>32</v>
      </c>
      <c r="B23" s="327">
        <f>'R 2015'!B22+'TRT 2015'!B23</f>
        <v>8919.66</v>
      </c>
      <c r="C23" s="327">
        <f>'R 2015'!C22+'TRT 2015'!C23</f>
        <v>32050.300000000003</v>
      </c>
      <c r="D23" s="327">
        <f>'R 2015'!D22+'TRT 2015'!D23</f>
        <v>10652.55</v>
      </c>
      <c r="E23" s="327">
        <f>'R 2015'!E22+'TRT 2015'!E23</f>
        <v>8388.91</v>
      </c>
      <c r="F23" s="327">
        <f>'R 2015'!F22+'TRT 2015'!F23</f>
        <v>36338.850000000006</v>
      </c>
      <c r="G23" s="327">
        <f>'R 2015'!G22+'TRT 2015'!G23</f>
        <v>12436.98</v>
      </c>
      <c r="H23" s="327">
        <f>'R 2015'!H22+'TRT 2015'!H23</f>
        <v>16301.59</v>
      </c>
      <c r="I23" s="327">
        <f>'R 2015'!I22+'TRT 2015'!I23</f>
        <v>37151.19</v>
      </c>
      <c r="J23" s="327">
        <f>'R 2015'!J22+'TRT 2015'!J23</f>
        <v>14572.99</v>
      </c>
      <c r="K23" s="327">
        <f>'R 2015'!K22+'TRT 2015'!K23</f>
        <v>18768.13</v>
      </c>
      <c r="L23" s="327">
        <f>'R 2015'!L22+'TRT 2015'!L23</f>
        <v>42943.78</v>
      </c>
      <c r="M23" s="327">
        <f>'R 2015'!M22+'TRT 2015'!M23</f>
        <v>11674.21</v>
      </c>
      <c r="N23" s="497">
        <f t="shared" si="0"/>
        <v>250199.14</v>
      </c>
      <c r="O23" s="388">
        <f>SUM('TOTAL 2014'!B23:M23)</f>
        <v>216672.32</v>
      </c>
      <c r="P23" s="474">
        <f t="shared" si="2"/>
        <v>0.15473513183409859</v>
      </c>
      <c r="Q23" s="566">
        <f t="shared" si="1"/>
        <v>2.2114347077435903E-3</v>
      </c>
    </row>
    <row r="24" spans="1:20">
      <c r="A24" s="151" t="s">
        <v>33</v>
      </c>
      <c r="B24" s="327">
        <f>'R 2015'!B23+'TRT 2015'!B24+'CR 2015'!C9</f>
        <v>42668.49</v>
      </c>
      <c r="C24" s="327">
        <f>'R 2015'!C23+'TRT 2015'!C24+'CR 2015'!D9</f>
        <v>52971.040000000001</v>
      </c>
      <c r="D24" s="327">
        <f>'R 2015'!D23+'TRT 2015'!D24+'CR 2015'!E9</f>
        <v>52037.84</v>
      </c>
      <c r="E24" s="327">
        <f>'R 2015'!E23+'TRT 2015'!E24+'CR 2015'!F9</f>
        <v>31919.870000000003</v>
      </c>
      <c r="F24" s="327">
        <f>'R 2015'!F23+'TRT 2015'!F24+'CR 2015'!G9</f>
        <v>68850.540000000008</v>
      </c>
      <c r="G24" s="327">
        <f>'R 2015'!G23+'TRT 2015'!G24+'CR 2015'!H9</f>
        <v>57762.200000000004</v>
      </c>
      <c r="H24" s="327">
        <f>'R 2015'!H23+'TRT 2015'!H24+'CR 2015'!I9</f>
        <v>75064.490000000005</v>
      </c>
      <c r="I24" s="327">
        <f>'R 2015'!I23+'TRT 2015'!I24+'CR 2015'!J9</f>
        <v>101942.45</v>
      </c>
      <c r="J24" s="327">
        <f>'R 2015'!J23+'TRT 2015'!J24+'CR 2015'!K9</f>
        <v>80930.559999999998</v>
      </c>
      <c r="K24" s="327">
        <f>'R 2015'!K23+'TRT 2015'!K24+'CR 2015'!L9</f>
        <v>82215.39</v>
      </c>
      <c r="L24" s="327">
        <f>'R 2015'!L23+'TRT 2015'!L24+'CR 2015'!M9</f>
        <v>93843.640000000014</v>
      </c>
      <c r="M24" s="327">
        <f>'R 2015'!M23+'TRT 2015'!M24+'CR 2015'!N9</f>
        <v>55428.15</v>
      </c>
      <c r="N24" s="497">
        <f t="shared" si="0"/>
        <v>795634.66</v>
      </c>
      <c r="O24" s="388">
        <f>SUM('TOTAL 2014'!B24:M24)</f>
        <v>701543.94000000006</v>
      </c>
      <c r="P24" s="474">
        <f t="shared" si="2"/>
        <v>0.13411949649226518</v>
      </c>
      <c r="Q24" s="566">
        <f t="shared" si="1"/>
        <v>7.0323746988409739E-3</v>
      </c>
    </row>
    <row r="25" spans="1:20">
      <c r="A25" s="151" t="s">
        <v>34</v>
      </c>
      <c r="B25" s="327">
        <f>'R 2015'!B24+'TRT 2015'!B25</f>
        <v>413229.16</v>
      </c>
      <c r="C25" s="327">
        <f>'R 2015'!C24+'TRT 2015'!C25</f>
        <v>1487544.07</v>
      </c>
      <c r="D25" s="327">
        <f>'R 2015'!D24+'TRT 2015'!D25</f>
        <v>1741337.92</v>
      </c>
      <c r="E25" s="327">
        <f>'R 2015'!E24+'TRT 2015'!E25</f>
        <v>1401330.4899999998</v>
      </c>
      <c r="F25" s="327">
        <f>'R 2015'!F24+'TRT 2015'!F25</f>
        <v>1735943.52</v>
      </c>
      <c r="G25" s="327">
        <f>'R 2015'!G24+'TRT 2015'!G25</f>
        <v>318154.06</v>
      </c>
      <c r="H25" s="327">
        <f>'R 2015'!H24+'TRT 2015'!H25</f>
        <v>280564.93</v>
      </c>
      <c r="I25" s="327">
        <f>'R 2015'!I24+'TRT 2015'!I25</f>
        <v>595036.77</v>
      </c>
      <c r="J25" s="327">
        <f>'R 2015'!J24+'TRT 2015'!J25</f>
        <v>658175.57999999996</v>
      </c>
      <c r="K25" s="327">
        <f>'R 2015'!K24+'TRT 2015'!K25</f>
        <v>598691.68999999994</v>
      </c>
      <c r="L25" s="327">
        <f>'R 2015'!L24+'TRT 2015'!L25</f>
        <v>554669.99</v>
      </c>
      <c r="M25" s="327">
        <f>'R 2015'!M24+'TRT 2015'!M25</f>
        <v>461125.70999999996</v>
      </c>
      <c r="N25" s="497">
        <f t="shared" si="0"/>
        <v>10245803.890000001</v>
      </c>
      <c r="O25" s="388">
        <f>SUM('TOTAL 2014'!B25:M25)</f>
        <v>9247975.6399999987</v>
      </c>
      <c r="P25" s="474">
        <f t="shared" si="2"/>
        <v>0.10789693753994389</v>
      </c>
      <c r="Q25" s="566">
        <f t="shared" si="1"/>
        <v>9.0559569193884082E-2</v>
      </c>
    </row>
    <row r="26" spans="1:20">
      <c r="A26" s="151" t="s">
        <v>35</v>
      </c>
      <c r="B26" s="327">
        <f>'R 2015'!B25+'TRT 2015'!B26</f>
        <v>53684.759999999995</v>
      </c>
      <c r="C26" s="327">
        <f>'R 2015'!C25+'TRT 2015'!C26</f>
        <v>69591.149999999994</v>
      </c>
      <c r="D26" s="327">
        <f>'R 2015'!D25+'TRT 2015'!D26</f>
        <v>62380.090000000004</v>
      </c>
      <c r="E26" s="327">
        <f>'R 2015'!E25+'TRT 2015'!E26</f>
        <v>49558.57</v>
      </c>
      <c r="F26" s="327">
        <f>'R 2015'!F25+'TRT 2015'!F26</f>
        <v>88535.48</v>
      </c>
      <c r="G26" s="327">
        <f>'R 2015'!G25+'TRT 2015'!G26</f>
        <v>72340.56</v>
      </c>
      <c r="H26" s="327">
        <f>'R 2015'!H25+'TRT 2015'!H26</f>
        <v>80066.880000000005</v>
      </c>
      <c r="I26" s="327">
        <f>'R 2015'!I25+'TRT 2015'!I26</f>
        <v>101933.15</v>
      </c>
      <c r="J26" s="327">
        <f>'R 2015'!J25+'TRT 2015'!J26</f>
        <v>84512.48</v>
      </c>
      <c r="K26" s="327">
        <f>'R 2015'!K25+'TRT 2015'!K26</f>
        <v>83841.14</v>
      </c>
      <c r="L26" s="327">
        <f>'R 2015'!L25+'TRT 2015'!L26</f>
        <v>89294.07</v>
      </c>
      <c r="M26" s="327">
        <f>'R 2015'!M25+'TRT 2015'!M26</f>
        <v>77260.290000000008</v>
      </c>
      <c r="N26" s="497">
        <f t="shared" si="0"/>
        <v>912998.62000000011</v>
      </c>
      <c r="O26" s="388">
        <f>SUM('TOTAL 2014'!B26:M26)</f>
        <v>789429.77</v>
      </c>
      <c r="P26" s="474">
        <f t="shared" si="2"/>
        <v>0.15652925022070052</v>
      </c>
      <c r="Q26" s="566">
        <f>N26/$N$33</f>
        <v>8.0697193299305563E-3</v>
      </c>
    </row>
    <row r="27" spans="1:20" s="154" customFormat="1">
      <c r="A27" s="151" t="s">
        <v>36</v>
      </c>
      <c r="B27" s="327">
        <f>'R 2015'!B26+'CR 2015'!C10+'TRT 2015'!B27</f>
        <v>99679.08</v>
      </c>
      <c r="C27" s="327">
        <f>'R 2015'!C26+'CR 2015'!D10+'TRT 2015'!C27</f>
        <v>102264.73000000001</v>
      </c>
      <c r="D27" s="327">
        <f>'R 2015'!D26+'CR 2015'!E10+'TRT 2015'!D27</f>
        <v>82322.16</v>
      </c>
      <c r="E27" s="327">
        <f>'R 2015'!E26+'CR 2015'!F10+'TRT 2015'!E27</f>
        <v>60732.89</v>
      </c>
      <c r="F27" s="327">
        <f>'R 2015'!F26+'CR 2015'!G10+'TRT 2015'!F27</f>
        <v>95019.75</v>
      </c>
      <c r="G27" s="327">
        <f>'R 2015'!G26+'CR 2015'!H10+'TRT 2015'!G27</f>
        <v>75145.78</v>
      </c>
      <c r="H27" s="327">
        <f>'R 2015'!H26+'CR 2015'!I10+'TRT 2015'!H27</f>
        <v>84998.76</v>
      </c>
      <c r="I27" s="327">
        <f>'R 2015'!I26+'CR 2015'!J10+'TRT 2015'!I27</f>
        <v>121351.75</v>
      </c>
      <c r="J27" s="327">
        <f>'R 2015'!J26+'CR 2015'!K10+'TRT 2015'!J27</f>
        <v>104691.67</v>
      </c>
      <c r="K27" s="327">
        <f>'R 2015'!K26+'CR 2015'!L10+'TRT 2015'!K27</f>
        <v>78965.13</v>
      </c>
      <c r="L27" s="327">
        <f>'R 2015'!L26+'CR 2015'!M10+'TRT 2015'!L27</f>
        <v>111403.86</v>
      </c>
      <c r="M27" s="327">
        <f>'R 2015'!M26+'CR 2015'!N10+'TRT 2015'!M27</f>
        <v>67415.429999999993</v>
      </c>
      <c r="N27" s="497">
        <f t="shared" si="0"/>
        <v>1083990.99</v>
      </c>
      <c r="O27" s="388">
        <f>SUM('TOTAL 2014'!B27:M27)</f>
        <v>2208928.7799999998</v>
      </c>
      <c r="P27" s="618">
        <f t="shared" si="2"/>
        <v>-0.50926847446842527</v>
      </c>
      <c r="Q27" s="566">
        <f t="shared" si="1"/>
        <v>9.5810692961108297E-3</v>
      </c>
    </row>
    <row r="28" spans="1:20">
      <c r="A28" s="151" t="s">
        <v>37</v>
      </c>
      <c r="B28" s="327">
        <f>'R 2015'!B27+'CR 2015'!C11+'TRT 2015'!B28</f>
        <v>700360.24</v>
      </c>
      <c r="C28" s="327">
        <f>'R 2015'!C27+'CR 2015'!D11+'TRT 2015'!C28</f>
        <v>943990.57000000007</v>
      </c>
      <c r="D28" s="327">
        <f>'R 2015'!D27+'CR 2015'!E11+'TRT 2015'!D28</f>
        <v>780534.96000000008</v>
      </c>
      <c r="E28" s="327">
        <f>'R 2015'!E27+'CR 2015'!F11+'TRT 2015'!E28</f>
        <v>671340.59</v>
      </c>
      <c r="F28" s="327">
        <f>'R 2015'!F27+'CR 2015'!G11+'TRT 2015'!F28</f>
        <v>1060743.8699999999</v>
      </c>
      <c r="G28" s="327">
        <f>'R 2015'!G27+'CR 2015'!H11+'TRT 2015'!G28</f>
        <v>867124.31</v>
      </c>
      <c r="H28" s="327">
        <f>'R 2015'!H27+'CR 2015'!I11+'TRT 2015'!H28</f>
        <v>796548.15999999992</v>
      </c>
      <c r="I28" s="327">
        <f>'R 2015'!I27+'CR 2015'!J11+'TRT 2015'!I28</f>
        <v>1071624.6600000001</v>
      </c>
      <c r="J28" s="327">
        <f>'R 2015'!J27+'CR 2015'!K11+'TRT 2015'!J28</f>
        <v>1004842.6000000001</v>
      </c>
      <c r="K28" s="327">
        <f>'R 2015'!K27+'CR 2015'!L11+'TRT 2015'!K28</f>
        <v>978912.24</v>
      </c>
      <c r="L28" s="327">
        <f>'R 2015'!L27+'CR 2015'!M11+'TRT 2015'!L28</f>
        <v>1086587.6200000001</v>
      </c>
      <c r="M28" s="327">
        <f>'R 2015'!M27+'CR 2015'!N11+'TRT 2015'!M28</f>
        <v>909624.29</v>
      </c>
      <c r="N28" s="497">
        <f t="shared" si="0"/>
        <v>10872234.109999999</v>
      </c>
      <c r="O28" s="388">
        <f>SUM('TOTAL 2014'!B28:M28)</f>
        <v>9468733.5199999996</v>
      </c>
      <c r="P28" s="474">
        <f t="shared" si="2"/>
        <v>0.14822474273201425</v>
      </c>
      <c r="Q28" s="566">
        <f t="shared" si="1"/>
        <v>9.6096396900356013E-2</v>
      </c>
      <c r="T28" s="154"/>
    </row>
    <row r="29" spans="1:20">
      <c r="A29" s="151" t="s">
        <v>38</v>
      </c>
      <c r="B29" s="327">
        <f>'R 2015'!B28+'TRT 2015'!B29</f>
        <v>78178.649999999994</v>
      </c>
      <c r="C29" s="327">
        <f>'R 2015'!C28+'TRT 2015'!C29</f>
        <v>234673.9</v>
      </c>
      <c r="D29" s="327">
        <f>'R 2015'!D28+'TRT 2015'!D29</f>
        <v>459147.36</v>
      </c>
      <c r="E29" s="327">
        <f>'R 2015'!E28+'TRT 2015'!E29</f>
        <v>60015.229999999996</v>
      </c>
      <c r="F29" s="327">
        <f>'R 2015'!F28+'TRT 2015'!F29</f>
        <v>274410.32</v>
      </c>
      <c r="G29" s="327">
        <f>'R 2015'!G28+'TRT 2015'!G29</f>
        <v>80754.53</v>
      </c>
      <c r="H29" s="327">
        <f>'R 2015'!H28+'TRT 2015'!H29</f>
        <v>53295.54</v>
      </c>
      <c r="I29" s="327">
        <f>'R 2015'!I28+'TRT 2015'!I29</f>
        <v>191962.99</v>
      </c>
      <c r="J29" s="327">
        <f>'R 2015'!J28+'TRT 2015'!J29</f>
        <v>138469.32</v>
      </c>
      <c r="K29" s="327">
        <f>'R 2015'!K28+'TRT 2015'!K29</f>
        <v>152047.40000000002</v>
      </c>
      <c r="L29" s="327">
        <f>'R 2015'!L28+'TRT 2015'!L29</f>
        <v>206776.12</v>
      </c>
      <c r="M29" s="327">
        <f>'R 2015'!M28+'TRT 2015'!M29</f>
        <v>72314.115000000005</v>
      </c>
      <c r="N29" s="497">
        <f t="shared" si="0"/>
        <v>2002045.4750000003</v>
      </c>
      <c r="O29" s="388">
        <f>SUM('TOTAL 2014'!B29:M29)</f>
        <v>1837828.27</v>
      </c>
      <c r="P29" s="474">
        <f t="shared" si="2"/>
        <v>8.9353944370438976E-2</v>
      </c>
      <c r="Q29" s="566">
        <f t="shared" si="1"/>
        <v>1.769547589130803E-2</v>
      </c>
      <c r="T29" s="154"/>
    </row>
    <row r="30" spans="1:20">
      <c r="A30" s="92" t="s">
        <v>39</v>
      </c>
      <c r="B30" s="327">
        <f>'R 2015'!B29+'CR 2015'!C12+'TRT 2015'!B30</f>
        <v>432723.74</v>
      </c>
      <c r="C30" s="327">
        <f>'R 2015'!C29+'CR 2015'!D12+'TRT 2015'!C30</f>
        <v>605152.66999999993</v>
      </c>
      <c r="D30" s="327">
        <f>'R 2015'!D29+'CR 2015'!E12+'TRT 2015'!D30</f>
        <v>449135.08999999997</v>
      </c>
      <c r="E30" s="327">
        <f>'R 2015'!E29+'CR 2015'!F12+'TRT 2015'!E30</f>
        <v>477869.52</v>
      </c>
      <c r="F30" s="327">
        <f>'R 2015'!F29+'CR 2015'!G12+'TRT 2015'!F30</f>
        <v>902750.34999999986</v>
      </c>
      <c r="G30" s="327">
        <f>'R 2015'!G29+'CR 2015'!H12+'TRT 2015'!G30</f>
        <v>826472.03</v>
      </c>
      <c r="H30" s="327">
        <f>'R 2015'!H29+'CR 2015'!I12+'TRT 2015'!H30</f>
        <v>734343.32000000007</v>
      </c>
      <c r="I30" s="327">
        <f>'R 2015'!I29+'CR 2015'!J12+'TRT 2015'!I30</f>
        <v>1027201.87</v>
      </c>
      <c r="J30" s="327">
        <f>'R 2015'!J29+'CR 2015'!K12+'TRT 2015'!J30</f>
        <v>731788.04</v>
      </c>
      <c r="K30" s="327">
        <f>'R 2015'!K29+'CR 2015'!L12+'TRT 2015'!K30</f>
        <v>804339</v>
      </c>
      <c r="L30" s="327">
        <f>'R 2015'!L29+'CR 2015'!M12+'TRT 2015'!L30</f>
        <v>962115.96</v>
      </c>
      <c r="M30" s="327">
        <f>'R 2015'!M29+'CR 2015'!N12+'TRT 2015'!M30</f>
        <v>811631.96</v>
      </c>
      <c r="N30" s="497">
        <f t="shared" si="0"/>
        <v>8765523.5500000007</v>
      </c>
      <c r="O30" s="388">
        <f>SUM('TOTAL 2014'!B30:M30)</f>
        <v>7855828.3399999989</v>
      </c>
      <c r="P30" s="474">
        <f t="shared" si="2"/>
        <v>0.11579876374946374</v>
      </c>
      <c r="Q30" s="566">
        <f t="shared" si="1"/>
        <v>7.7475817902546776E-2</v>
      </c>
      <c r="T30" s="154"/>
    </row>
    <row r="31" spans="1:20">
      <c r="A31" s="92" t="s">
        <v>40</v>
      </c>
      <c r="B31" s="327">
        <f>'R 2015'!B30+'TRT 2015'!B31</f>
        <v>11627.65</v>
      </c>
      <c r="C31" s="327">
        <f>'R 2015'!C30+'TRT 2015'!C31</f>
        <v>20959.57</v>
      </c>
      <c r="D31" s="327">
        <f>'R 2015'!D30+'TRT 2015'!D31</f>
        <v>4902.01</v>
      </c>
      <c r="E31" s="327">
        <f>'R 2015'!E30+'TRT 2015'!E31</f>
        <v>4042.79</v>
      </c>
      <c r="F31" s="327">
        <f>'R 2015'!F30+'TRT 2015'!F31</f>
        <v>17849.02</v>
      </c>
      <c r="G31" s="327">
        <f>'R 2015'!G30+'TRT 2015'!G31</f>
        <v>21514.54</v>
      </c>
      <c r="H31" s="327">
        <f>'R 2015'!H30+'TRT 2015'!H31</f>
        <v>47035.74</v>
      </c>
      <c r="I31" s="327">
        <f>'R 2015'!I30+'TRT 2015'!I31</f>
        <v>70356.53</v>
      </c>
      <c r="J31" s="327">
        <f>'R 2015'!J30+'TRT 2015'!J31</f>
        <v>35242.729999999996</v>
      </c>
      <c r="K31" s="327">
        <f>'R 2015'!K30+'TRT 2015'!K31</f>
        <v>29561.51</v>
      </c>
      <c r="L31" s="327">
        <f>'R 2015'!L30+'TRT 2015'!L31</f>
        <v>85599.06</v>
      </c>
      <c r="M31" s="327">
        <f>'R 2015'!M30+'TRT 2015'!M31</f>
        <v>31811.22</v>
      </c>
      <c r="N31" s="497">
        <f t="shared" si="0"/>
        <v>380502.37</v>
      </c>
      <c r="O31" s="388">
        <f>SUM('TOTAL 2014'!B31:M31)</f>
        <v>328325.86</v>
      </c>
      <c r="P31" s="474">
        <f t="shared" si="2"/>
        <v>0.15891684559967345</v>
      </c>
      <c r="Q31" s="566">
        <f t="shared" si="1"/>
        <v>3.3631456422939477E-3</v>
      </c>
    </row>
    <row r="32" spans="1:20" ht="13" thickBot="1">
      <c r="A32" s="93" t="s">
        <v>41</v>
      </c>
      <c r="B32" s="499">
        <f>'R 2015'!B31+'CR 2015'!C13+'TRT 2015'!B32</f>
        <v>284266.58</v>
      </c>
      <c r="C32" s="499">
        <f>'R 2015'!C31+'CR 2015'!D13+'TRT 2015'!C32</f>
        <v>440588.16</v>
      </c>
      <c r="D32" s="499">
        <f>'R 2015'!D31+'CR 2015'!E13+'TRT 2015'!D32</f>
        <v>346954.52</v>
      </c>
      <c r="E32" s="499">
        <f>'R 2015'!E31+'CR 2015'!F13+'TRT 2015'!E32</f>
        <v>311708.88</v>
      </c>
      <c r="F32" s="499">
        <f>'R 2015'!F31+'CR 2015'!G13+'TRT 2015'!F32</f>
        <v>511817.16000000003</v>
      </c>
      <c r="G32" s="499">
        <f>'R 2015'!G31+'CR 2015'!H13+'TRT 2015'!G32</f>
        <v>381182.55000000005</v>
      </c>
      <c r="H32" s="499">
        <f>'R 2015'!H31+'CR 2015'!I13+'TRT 2015'!H32</f>
        <v>366722.27</v>
      </c>
      <c r="I32" s="499">
        <f>'R 2015'!I31+'CR 2015'!J13+'TRT 2015'!I32</f>
        <v>533824.71</v>
      </c>
      <c r="J32" s="499">
        <f>'R 2015'!J31+'CR 2015'!K13+'TRT 2015'!J32</f>
        <v>408981.64</v>
      </c>
      <c r="K32" s="499">
        <f>'R 2015'!K31+'CR 2015'!L13+'TRT 2015'!K32</f>
        <v>449772.58999999997</v>
      </c>
      <c r="L32" s="499">
        <f>'R 2015'!L31+'CR 2015'!M13+'TRT 2015'!L32</f>
        <v>527142.17000000004</v>
      </c>
      <c r="M32" s="499">
        <f>'R 2015'!M31+'CR 2015'!N13+'TRT 2015'!M32</f>
        <v>408241.87</v>
      </c>
      <c r="N32" s="500">
        <f t="shared" si="0"/>
        <v>4971203.1000000006</v>
      </c>
      <c r="O32" s="388">
        <f>SUM('TOTAL 2014'!B32:M32)</f>
        <v>4384692.2200000007</v>
      </c>
      <c r="P32" s="475">
        <f>N32/O32-1</f>
        <v>0.13376329524903352</v>
      </c>
      <c r="Q32" s="567">
        <f t="shared" si="1"/>
        <v>4.3938964276945679E-2</v>
      </c>
    </row>
    <row r="33" spans="1:20" ht="14" thickTop="1" thickBot="1">
      <c r="A33" s="470" t="s">
        <v>54</v>
      </c>
      <c r="B33" s="501">
        <f t="shared" ref="B33:N33" si="3">SUM(B4:B32)</f>
        <v>5931052.7300000014</v>
      </c>
      <c r="C33" s="502">
        <f t="shared" si="3"/>
        <v>9674991.8900000006</v>
      </c>
      <c r="D33" s="501">
        <f t="shared" si="3"/>
        <v>9106523.2599999998</v>
      </c>
      <c r="E33" s="501">
        <f t="shared" si="3"/>
        <v>8149030.3800000008</v>
      </c>
      <c r="F33" s="501">
        <f t="shared" si="3"/>
        <v>11911483.369999999</v>
      </c>
      <c r="G33" s="501">
        <f t="shared" si="3"/>
        <v>8227531.9200000018</v>
      </c>
      <c r="H33" s="503">
        <f t="shared" si="3"/>
        <v>8183938.709999999</v>
      </c>
      <c r="I33" s="501">
        <f t="shared" si="3"/>
        <v>11482791.969999999</v>
      </c>
      <c r="J33" s="501">
        <f t="shared" si="3"/>
        <v>10076116.82</v>
      </c>
      <c r="K33" s="501">
        <f t="shared" si="3"/>
        <v>10345370.119999999</v>
      </c>
      <c r="L33" s="501">
        <f t="shared" si="3"/>
        <v>11353094.690000001</v>
      </c>
      <c r="M33" s="504">
        <f t="shared" si="3"/>
        <v>8696906.1950000003</v>
      </c>
      <c r="N33" s="505">
        <f t="shared" si="3"/>
        <v>113138832.05499998</v>
      </c>
      <c r="O33" s="453">
        <f>SUM(O4:O32)</f>
        <v>102867088.12199998</v>
      </c>
      <c r="P33" s="476">
        <f>(N33-O33)/O33</f>
        <v>9.9854522185149716E-2</v>
      </c>
      <c r="Q33" s="568">
        <f>SUM(Q4:Q32)</f>
        <v>1</v>
      </c>
      <c r="T33" s="219"/>
    </row>
    <row r="34" spans="1:20" ht="13" thickBot="1">
      <c r="A34" s="537" t="s">
        <v>344</v>
      </c>
      <c r="B34" s="538">
        <f>B33/'TOTAL 2014'!B33-1</f>
        <v>6.538921677552767E-2</v>
      </c>
      <c r="C34" s="538">
        <f>C33/'TOTAL 2014'!C33-1</f>
        <v>0.21162160445298239</v>
      </c>
      <c r="D34" s="538">
        <f>D33/'TOTAL 2014'!D33-1</f>
        <v>8.341257597978613E-2</v>
      </c>
      <c r="E34" s="538">
        <f>E33/'TOTAL 2014'!E33-1</f>
        <v>1.5460498674114032E-2</v>
      </c>
      <c r="F34" s="538">
        <f>F33/'TOTAL 2014'!F33-1</f>
        <v>6.9055187388444406E-2</v>
      </c>
      <c r="G34" s="538">
        <f>G33/'TOTAL 2014'!G33-1</f>
        <v>0.14829318927781476</v>
      </c>
      <c r="H34" s="538">
        <f>H33/'TOTAL 2014'!H33-1</f>
        <v>0.11120627688955298</v>
      </c>
      <c r="I34" s="538">
        <f>I33/'TOTAL 2014'!I33-1</f>
        <v>1.3895194895682916E-2</v>
      </c>
      <c r="J34" s="538">
        <f>J33/'TOTAL 2014'!J33-1</f>
        <v>0.14266081555358801</v>
      </c>
      <c r="K34" s="538">
        <f>K33/'TOTAL 2014'!K33-1</f>
        <v>0.10810188137528476</v>
      </c>
      <c r="L34" s="538">
        <f>L33/'TOTAL 2014'!L33-1</f>
        <v>9.3274757881528059E-2</v>
      </c>
      <c r="M34" s="538">
        <f>M33/'TOTAL 2014'!M33-1</f>
        <v>0.18351018806959485</v>
      </c>
      <c r="N34" s="569"/>
      <c r="O34" s="570"/>
      <c r="P34" s="571"/>
      <c r="Q34" s="574"/>
    </row>
    <row r="35" spans="1:20">
      <c r="A35" s="688" t="s">
        <v>345</v>
      </c>
      <c r="B35" s="689"/>
      <c r="C35" s="689"/>
      <c r="D35" s="689"/>
      <c r="E35" s="689"/>
      <c r="F35" s="689"/>
      <c r="G35" s="689"/>
      <c r="H35" s="689"/>
      <c r="I35" s="689"/>
      <c r="J35" s="689"/>
      <c r="K35" s="689"/>
      <c r="L35" s="689"/>
      <c r="M35" s="689"/>
      <c r="N35" s="689"/>
      <c r="O35" s="689"/>
      <c r="P35" s="689"/>
      <c r="Q35" s="689"/>
    </row>
    <row r="36" spans="1:20">
      <c r="I36" s="116"/>
    </row>
    <row r="37" spans="1:20">
      <c r="I37" s="116"/>
      <c r="J37" s="121"/>
      <c r="T37" s="227"/>
    </row>
    <row r="38" spans="1:20">
      <c r="I38" s="116"/>
      <c r="J38" s="121"/>
    </row>
    <row r="39" spans="1:20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20">
      <c r="I40" s="116"/>
    </row>
    <row r="41" spans="1:20">
      <c r="I41" s="116"/>
    </row>
    <row r="84" spans="16:16" ht="13" thickBot="1">
      <c r="P84" s="169"/>
    </row>
  </sheetData>
  <mergeCells count="2">
    <mergeCell ref="A1:Q1"/>
    <mergeCell ref="A35:Q35"/>
  </mergeCells>
  <hyperlinks>
    <hyperlink ref="A35" r:id="rId1"/>
  </hyperlinks>
  <printOptions horizontalCentered="1"/>
  <pageMargins left="0.25" right="0.25" top="0.25" bottom="0.25" header="0" footer="0"/>
  <pageSetup scale="85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 enableFormatConditionsCalculation="0">
    <tabColor rgb="FFFF0000"/>
  </sheetPr>
  <dimension ref="A1:O30"/>
  <sheetViews>
    <sheetView workbookViewId="0">
      <selection activeCell="J18" sqref="J18"/>
    </sheetView>
  </sheetViews>
  <sheetFormatPr baseColWidth="10" defaultColWidth="9.1640625" defaultRowHeight="14" x14ac:dyDescent="0"/>
  <cols>
    <col min="1" max="1" width="20.83203125" style="345" customWidth="1"/>
    <col min="2" max="2" width="12.6640625" style="345" bestFit="1" customWidth="1"/>
    <col min="3" max="6" width="10.33203125" style="345" bestFit="1" customWidth="1"/>
    <col min="7" max="11" width="9.83203125" style="345" bestFit="1" customWidth="1"/>
    <col min="12" max="12" width="11.33203125" style="345" bestFit="1" customWidth="1"/>
    <col min="13" max="14" width="9.83203125" style="345" bestFit="1" customWidth="1"/>
    <col min="15" max="15" width="11.33203125" style="345" bestFit="1" customWidth="1"/>
    <col min="16" max="16384" width="9.1640625" style="345"/>
  </cols>
  <sheetData>
    <row r="1" spans="1:15" ht="45">
      <c r="A1" s="343" t="s">
        <v>309</v>
      </c>
      <c r="B1" s="344"/>
    </row>
    <row r="2" spans="1:15">
      <c r="B2" s="346"/>
    </row>
    <row r="3" spans="1:15">
      <c r="A3" s="354" t="s">
        <v>310</v>
      </c>
      <c r="B3" s="347" t="s">
        <v>311</v>
      </c>
      <c r="C3" s="356">
        <v>37987</v>
      </c>
      <c r="D3" s="356">
        <v>38018</v>
      </c>
      <c r="E3" s="356">
        <v>38047</v>
      </c>
      <c r="F3" s="356">
        <v>38078</v>
      </c>
      <c r="G3" s="356">
        <v>38108</v>
      </c>
      <c r="H3" s="356">
        <v>38139</v>
      </c>
      <c r="I3" s="356">
        <v>38169</v>
      </c>
      <c r="J3" s="356">
        <v>38200</v>
      </c>
      <c r="K3" s="356">
        <v>38231</v>
      </c>
      <c r="L3" s="356">
        <v>38261</v>
      </c>
      <c r="M3" s="356">
        <v>38292</v>
      </c>
      <c r="N3" s="356">
        <v>38322</v>
      </c>
      <c r="O3" s="348" t="s">
        <v>54</v>
      </c>
    </row>
    <row r="4" spans="1:15">
      <c r="A4" s="345" t="s">
        <v>165</v>
      </c>
      <c r="B4" s="349">
        <v>6000</v>
      </c>
      <c r="C4" s="352">
        <v>19037.919999999998</v>
      </c>
      <c r="D4" s="352">
        <v>22757.07</v>
      </c>
      <c r="E4" s="352">
        <v>26681.46</v>
      </c>
      <c r="F4" s="352">
        <v>31164.73</v>
      </c>
      <c r="G4" s="352">
        <v>29511.71</v>
      </c>
      <c r="H4" s="352">
        <v>20504.060000000001</v>
      </c>
      <c r="I4" s="352">
        <v>18447.37</v>
      </c>
      <c r="J4" s="352">
        <v>27687.96</v>
      </c>
      <c r="K4" s="352">
        <v>26893.57</v>
      </c>
      <c r="L4" s="352">
        <v>30679.29</v>
      </c>
      <c r="M4" s="352">
        <v>25573.51</v>
      </c>
      <c r="N4" s="352">
        <v>19105.150000000001</v>
      </c>
      <c r="O4" s="352">
        <f t="shared" ref="O4:O14" si="0">SUM(C4:N4)</f>
        <v>298043.8</v>
      </c>
    </row>
    <row r="5" spans="1:15">
      <c r="A5" s="345" t="s">
        <v>173</v>
      </c>
      <c r="B5" s="349">
        <v>7000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>
        <v>420.95</v>
      </c>
      <c r="O5" s="352">
        <f t="shared" si="0"/>
        <v>420.95</v>
      </c>
    </row>
    <row r="6" spans="1:15">
      <c r="A6" s="345" t="s">
        <v>179</v>
      </c>
      <c r="B6" s="349">
        <v>10000</v>
      </c>
      <c r="C6" s="352"/>
      <c r="D6" s="352">
        <v>2919.62</v>
      </c>
      <c r="E6" s="352">
        <v>445.07</v>
      </c>
      <c r="F6" s="352"/>
      <c r="G6" s="352">
        <v>2503.2399999999998</v>
      </c>
      <c r="H6" s="352"/>
      <c r="I6" s="352">
        <v>538.9</v>
      </c>
      <c r="J6" s="352">
        <v>5286.64</v>
      </c>
      <c r="K6" s="352">
        <v>1245.93</v>
      </c>
      <c r="L6" s="352">
        <v>4431.5600000000004</v>
      </c>
      <c r="M6" s="352">
        <v>1776.05</v>
      </c>
      <c r="N6" s="352">
        <v>1287.93</v>
      </c>
      <c r="O6" s="352">
        <f t="shared" si="0"/>
        <v>20434.940000000002</v>
      </c>
    </row>
    <row r="7" spans="1:15">
      <c r="A7" s="345" t="s">
        <v>192</v>
      </c>
      <c r="B7" s="349">
        <v>15000</v>
      </c>
      <c r="C7" s="352">
        <v>451.81</v>
      </c>
      <c r="D7" s="352">
        <v>496.97</v>
      </c>
      <c r="E7" s="352">
        <v>662.1</v>
      </c>
      <c r="F7" s="352">
        <v>777.88</v>
      </c>
      <c r="G7" s="352">
        <v>646.41</v>
      </c>
      <c r="H7" s="352">
        <v>433.23</v>
      </c>
      <c r="I7" s="352">
        <v>351.74</v>
      </c>
      <c r="J7" s="352">
        <v>481.36</v>
      </c>
      <c r="K7" s="352">
        <v>591.47</v>
      </c>
      <c r="L7" s="352">
        <v>655.69</v>
      </c>
      <c r="M7" s="352">
        <v>514.33000000000004</v>
      </c>
      <c r="N7" s="352">
        <v>410.24</v>
      </c>
      <c r="O7" s="352">
        <f t="shared" si="0"/>
        <v>6473.23</v>
      </c>
    </row>
    <row r="8" spans="1:15">
      <c r="A8" s="345" t="s">
        <v>195</v>
      </c>
      <c r="B8" s="349">
        <v>18000</v>
      </c>
      <c r="C8" s="352">
        <v>481762.28</v>
      </c>
      <c r="D8" s="352">
        <v>523243.53</v>
      </c>
      <c r="E8" s="352">
        <v>703880.76</v>
      </c>
      <c r="F8" s="352">
        <v>834068.53</v>
      </c>
      <c r="G8" s="352">
        <v>678717.16</v>
      </c>
      <c r="H8" s="352">
        <v>565257.39</v>
      </c>
      <c r="I8" s="352">
        <v>445955.96</v>
      </c>
      <c r="J8" s="352">
        <v>610223.62</v>
      </c>
      <c r="K8" s="352">
        <v>709210.21</v>
      </c>
      <c r="L8" s="352">
        <v>837502</v>
      </c>
      <c r="M8" s="352">
        <v>655265.21</v>
      </c>
      <c r="N8" s="352">
        <v>519479.33</v>
      </c>
      <c r="O8" s="352">
        <f t="shared" si="0"/>
        <v>7564565.9800000004</v>
      </c>
    </row>
    <row r="9" spans="1:15">
      <c r="A9" s="345" t="s">
        <v>211</v>
      </c>
      <c r="B9" s="349">
        <v>21000</v>
      </c>
      <c r="C9" s="352">
        <v>1197.5999999999999</v>
      </c>
      <c r="D9" s="352">
        <v>1475.22</v>
      </c>
      <c r="E9" s="352">
        <v>1818.58</v>
      </c>
      <c r="F9" s="352">
        <v>2335.8200000000002</v>
      </c>
      <c r="G9" s="352">
        <v>1956.12</v>
      </c>
      <c r="H9" s="352">
        <v>1340.32</v>
      </c>
      <c r="I9" s="352">
        <v>974</v>
      </c>
      <c r="J9" s="352">
        <v>1502.56</v>
      </c>
      <c r="K9" s="352">
        <v>1583.99</v>
      </c>
      <c r="L9" s="352">
        <v>1835.1</v>
      </c>
      <c r="M9" s="352">
        <v>1466.77</v>
      </c>
      <c r="N9" s="352">
        <v>1343.41</v>
      </c>
      <c r="O9" s="352">
        <f t="shared" si="0"/>
        <v>18829.489999999998</v>
      </c>
    </row>
    <row r="10" spans="1:15">
      <c r="A10" s="345" t="s">
        <v>217</v>
      </c>
      <c r="B10" s="349">
        <v>24000</v>
      </c>
      <c r="C10" s="352">
        <v>223.98</v>
      </c>
      <c r="D10" s="352">
        <v>177.42</v>
      </c>
      <c r="E10" s="352">
        <v>156.57</v>
      </c>
      <c r="F10" s="352">
        <v>35.549999999999997</v>
      </c>
      <c r="G10" s="352">
        <v>31.05</v>
      </c>
      <c r="H10" s="352">
        <v>134.47</v>
      </c>
      <c r="I10" s="352">
        <v>141.43</v>
      </c>
      <c r="J10" s="352">
        <v>241.79</v>
      </c>
      <c r="K10" s="352">
        <v>260.2</v>
      </c>
      <c r="L10" s="352">
        <v>211.67</v>
      </c>
      <c r="M10" s="352">
        <v>185.18</v>
      </c>
      <c r="N10" s="352">
        <v>95.31</v>
      </c>
      <c r="O10" s="352">
        <f t="shared" si="0"/>
        <v>1894.6200000000001</v>
      </c>
    </row>
    <row r="11" spans="1:15">
      <c r="A11" s="345" t="s">
        <v>221</v>
      </c>
      <c r="B11" s="349">
        <v>25000</v>
      </c>
      <c r="C11" s="352"/>
      <c r="D11" s="352"/>
      <c r="E11" s="352"/>
      <c r="F11" s="352"/>
      <c r="G11" s="352"/>
      <c r="H11" s="352">
        <v>22921.01</v>
      </c>
      <c r="I11" s="352">
        <v>18609.919999999998</v>
      </c>
      <c r="J11" s="352">
        <v>27438.89</v>
      </c>
      <c r="K11" s="352">
        <v>82461.66</v>
      </c>
      <c r="L11" s="352">
        <v>54676.34</v>
      </c>
      <c r="M11" s="352">
        <v>38723.980000000003</v>
      </c>
      <c r="N11" s="352">
        <v>33555.129999999997</v>
      </c>
      <c r="O11" s="352">
        <f t="shared" si="0"/>
        <v>278386.93</v>
      </c>
    </row>
    <row r="12" spans="1:15">
      <c r="A12" s="345" t="s">
        <v>231</v>
      </c>
      <c r="B12" s="349">
        <v>27000</v>
      </c>
      <c r="C12" s="352">
        <v>12945.85</v>
      </c>
      <c r="D12" s="352">
        <v>14679.46</v>
      </c>
      <c r="E12" s="352">
        <v>18801.86</v>
      </c>
      <c r="F12" s="352">
        <v>18451.84</v>
      </c>
      <c r="G12" s="352">
        <v>23835.72</v>
      </c>
      <c r="H12" s="352">
        <v>13450.64</v>
      </c>
      <c r="I12" s="352">
        <v>18630.38</v>
      </c>
      <c r="J12" s="352">
        <v>24095.82</v>
      </c>
      <c r="K12" s="352">
        <v>19033.509999999998</v>
      </c>
      <c r="L12" s="352">
        <v>20066.5</v>
      </c>
      <c r="M12" s="352">
        <v>21021.79</v>
      </c>
      <c r="N12" s="352">
        <v>17470.650000000001</v>
      </c>
      <c r="O12" s="352">
        <f t="shared" si="0"/>
        <v>222484.02000000002</v>
      </c>
    </row>
    <row r="13" spans="1:15">
      <c r="A13" s="345" t="s">
        <v>243</v>
      </c>
      <c r="B13" s="349">
        <v>29000</v>
      </c>
      <c r="C13" s="352">
        <v>15521.98</v>
      </c>
      <c r="D13" s="352">
        <v>19399.080000000002</v>
      </c>
      <c r="E13" s="352">
        <v>22658.33</v>
      </c>
      <c r="F13" s="352">
        <v>25192.85</v>
      </c>
      <c r="G13" s="352">
        <v>22778.19</v>
      </c>
      <c r="H13" s="352">
        <v>16180.45</v>
      </c>
      <c r="I13" s="352">
        <v>14898.05</v>
      </c>
      <c r="J13" s="352">
        <v>22330.41</v>
      </c>
      <c r="K13" s="352">
        <v>22095.06</v>
      </c>
      <c r="L13" s="352">
        <v>24806.57</v>
      </c>
      <c r="M13" s="352">
        <v>20833.11</v>
      </c>
      <c r="N13" s="352">
        <v>15424.41</v>
      </c>
      <c r="O13" s="352">
        <f t="shared" si="0"/>
        <v>242118.49000000002</v>
      </c>
    </row>
    <row r="14" spans="1:15" ht="15" thickBot="1">
      <c r="A14" s="345" t="s">
        <v>312</v>
      </c>
      <c r="B14" s="351" t="s">
        <v>313</v>
      </c>
      <c r="C14" s="358">
        <v>531141.41999999993</v>
      </c>
      <c r="D14" s="358">
        <v>585148.37</v>
      </c>
      <c r="E14" s="358">
        <v>775104.72999999986</v>
      </c>
      <c r="F14" s="358">
        <v>912027.2</v>
      </c>
      <c r="G14" s="358">
        <v>759979.6</v>
      </c>
      <c r="H14" s="358">
        <v>640221.56999999995</v>
      </c>
      <c r="I14" s="358">
        <v>518547.75</v>
      </c>
      <c r="J14" s="358">
        <v>719289.05</v>
      </c>
      <c r="K14" s="358">
        <v>863375.6</v>
      </c>
      <c r="L14" s="358">
        <v>974864.72</v>
      </c>
      <c r="M14" s="358">
        <v>765359.93</v>
      </c>
      <c r="N14" s="358">
        <v>608592.51000000013</v>
      </c>
      <c r="O14" s="352">
        <f t="shared" si="0"/>
        <v>8653652.4499999993</v>
      </c>
    </row>
    <row r="15" spans="1:15" ht="15" thickTop="1">
      <c r="A15" s="345" t="s">
        <v>312</v>
      </c>
      <c r="B15" s="348"/>
      <c r="C15" s="348"/>
      <c r="D15" s="348"/>
      <c r="E15" s="352"/>
      <c r="F15" s="352"/>
      <c r="G15" s="352"/>
      <c r="H15" s="352"/>
      <c r="I15" s="352"/>
      <c r="J15" s="352"/>
      <c r="K15" s="352"/>
      <c r="L15" s="352"/>
      <c r="M15" s="352"/>
      <c r="N15" s="352"/>
    </row>
    <row r="16" spans="1:15">
      <c r="A16" s="345" t="s">
        <v>312</v>
      </c>
      <c r="B16" s="348" t="s">
        <v>314</v>
      </c>
      <c r="C16" s="352">
        <f t="shared" ref="C16:N16" si="1">C14</f>
        <v>531141.41999999993</v>
      </c>
      <c r="D16" s="352">
        <f t="shared" si="1"/>
        <v>585148.37</v>
      </c>
      <c r="E16" s="352">
        <f t="shared" si="1"/>
        <v>775104.72999999986</v>
      </c>
      <c r="F16" s="352">
        <f t="shared" si="1"/>
        <v>912027.2</v>
      </c>
      <c r="G16" s="352">
        <f t="shared" si="1"/>
        <v>759979.6</v>
      </c>
      <c r="H16" s="352">
        <f t="shared" si="1"/>
        <v>640221.56999999995</v>
      </c>
      <c r="I16" s="352">
        <f t="shared" si="1"/>
        <v>518547.75</v>
      </c>
      <c r="J16" s="352">
        <f t="shared" si="1"/>
        <v>719289.05</v>
      </c>
      <c r="K16" s="352">
        <f t="shared" si="1"/>
        <v>863375.6</v>
      </c>
      <c r="L16" s="352">
        <f t="shared" si="1"/>
        <v>974864.72</v>
      </c>
      <c r="M16" s="352">
        <f t="shared" si="1"/>
        <v>765359.93</v>
      </c>
      <c r="N16" s="352">
        <f t="shared" si="1"/>
        <v>608592.51000000013</v>
      </c>
    </row>
    <row r="17" spans="1:14">
      <c r="A17" s="345" t="s">
        <v>312</v>
      </c>
      <c r="B17" s="348" t="s">
        <v>315</v>
      </c>
      <c r="C17" s="352">
        <f>'CR 2003'!C16</f>
        <v>397592.84</v>
      </c>
      <c r="D17" s="352">
        <f>'CR 2003'!D16</f>
        <v>599464.32000000007</v>
      </c>
      <c r="E17" s="352">
        <f>'CR 2003'!E16</f>
        <v>857493.56</v>
      </c>
      <c r="F17" s="352">
        <f>'CR 2003'!F16</f>
        <v>789980.60999999987</v>
      </c>
      <c r="G17" s="352">
        <f>'CR 2003'!G16</f>
        <v>963691.17999999993</v>
      </c>
      <c r="H17" s="352">
        <f>'CR 2003'!H16</f>
        <v>531367.85</v>
      </c>
      <c r="I17" s="352">
        <f>'CR 2003'!I16</f>
        <v>540719.09</v>
      </c>
      <c r="J17" s="352">
        <f>'CR 2003'!J16</f>
        <v>529395.16999999993</v>
      </c>
      <c r="K17" s="352">
        <f>'CR 2003'!K16</f>
        <v>729089.3899999999</v>
      </c>
      <c r="L17" s="352">
        <f>'CR 2003'!L16</f>
        <v>1108098.1099999999</v>
      </c>
      <c r="M17" s="352">
        <f>'CR 2003'!M16</f>
        <v>524357.56000000006</v>
      </c>
      <c r="N17" s="352">
        <f>'CR 2003'!N16</f>
        <v>738079.3899999999</v>
      </c>
    </row>
    <row r="18" spans="1:14">
      <c r="A18" s="345" t="s">
        <v>312</v>
      </c>
      <c r="B18" s="348" t="s">
        <v>265</v>
      </c>
      <c r="C18" s="353">
        <f t="shared" ref="C18:N18" si="2">(C16/C17)-1</f>
        <v>0.33589281939785409</v>
      </c>
      <c r="D18" s="353">
        <f t="shared" si="2"/>
        <v>-2.3881237835806535E-2</v>
      </c>
      <c r="E18" s="353">
        <f t="shared" si="2"/>
        <v>-9.6080989809416373E-2</v>
      </c>
      <c r="F18" s="353">
        <f t="shared" si="2"/>
        <v>0.15449314635709865</v>
      </c>
      <c r="G18" s="353">
        <f t="shared" si="2"/>
        <v>-0.21138678471665573</v>
      </c>
      <c r="H18" s="353">
        <f t="shared" si="2"/>
        <v>0.20485567578091146</v>
      </c>
      <c r="I18" s="353">
        <f t="shared" si="2"/>
        <v>-4.1003434888899459E-2</v>
      </c>
      <c r="J18" s="353">
        <f t="shared" si="2"/>
        <v>0.35869968364086158</v>
      </c>
      <c r="K18" s="353">
        <f t="shared" si="2"/>
        <v>0.18418346480120928</v>
      </c>
      <c r="L18" s="353">
        <f t="shared" si="2"/>
        <v>-0.12023609533996937</v>
      </c>
      <c r="M18" s="353">
        <f t="shared" si="2"/>
        <v>0.45961456148358004</v>
      </c>
      <c r="N18" s="353">
        <f t="shared" si="2"/>
        <v>-0.17543760434768374</v>
      </c>
    </row>
    <row r="19" spans="1:14"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</row>
    <row r="20" spans="1:14">
      <c r="A20" s="359" t="s">
        <v>316</v>
      </c>
      <c r="B20" s="359" t="s">
        <v>317</v>
      </c>
      <c r="C20" s="360" t="s">
        <v>318</v>
      </c>
      <c r="D20" s="360" t="s">
        <v>319</v>
      </c>
    </row>
    <row r="21" spans="1:14">
      <c r="A21" s="345" t="s">
        <v>165</v>
      </c>
      <c r="B21" s="361" t="s">
        <v>320</v>
      </c>
      <c r="C21" s="362">
        <v>0.03</v>
      </c>
      <c r="D21" s="362">
        <v>0.04</v>
      </c>
    </row>
    <row r="22" spans="1:14">
      <c r="A22" s="345" t="s">
        <v>173</v>
      </c>
      <c r="B22" s="361" t="s">
        <v>321</v>
      </c>
      <c r="C22" s="362">
        <v>0.03</v>
      </c>
      <c r="D22" s="362"/>
    </row>
    <row r="23" spans="1:14">
      <c r="A23" s="345" t="s">
        <v>179</v>
      </c>
      <c r="B23" s="361" t="s">
        <v>322</v>
      </c>
      <c r="C23" s="362">
        <v>0.03</v>
      </c>
      <c r="D23" s="362"/>
    </row>
    <row r="24" spans="1:14">
      <c r="A24" s="345" t="s">
        <v>192</v>
      </c>
      <c r="B24" s="361" t="s">
        <v>323</v>
      </c>
      <c r="C24" s="362">
        <v>0.03</v>
      </c>
      <c r="D24" s="362">
        <v>0.04</v>
      </c>
    </row>
    <row r="25" spans="1:14">
      <c r="A25" s="345" t="s">
        <v>195</v>
      </c>
      <c r="B25" s="361" t="s">
        <v>324</v>
      </c>
      <c r="C25" s="362">
        <v>0.03</v>
      </c>
      <c r="D25" s="362">
        <v>0.04</v>
      </c>
    </row>
    <row r="26" spans="1:14">
      <c r="A26" s="345" t="s">
        <v>211</v>
      </c>
      <c r="B26" s="361" t="s">
        <v>325</v>
      </c>
      <c r="C26" s="362">
        <v>0.03</v>
      </c>
      <c r="D26" s="362">
        <v>0.04</v>
      </c>
    </row>
    <row r="27" spans="1:14">
      <c r="A27" s="345" t="s">
        <v>217</v>
      </c>
      <c r="B27" s="361" t="s">
        <v>326</v>
      </c>
      <c r="C27" s="362">
        <v>0.03</v>
      </c>
      <c r="D27" s="362"/>
    </row>
    <row r="28" spans="1:14">
      <c r="A28" s="345" t="s">
        <v>221</v>
      </c>
      <c r="B28" s="361" t="s">
        <v>327</v>
      </c>
      <c r="C28" s="362">
        <v>0.03</v>
      </c>
      <c r="D28" s="362">
        <v>0.04</v>
      </c>
    </row>
    <row r="29" spans="1:14">
      <c r="A29" s="345" t="s">
        <v>231</v>
      </c>
      <c r="B29" s="361" t="s">
        <v>328</v>
      </c>
      <c r="C29" s="362">
        <v>0.03</v>
      </c>
      <c r="D29" s="362">
        <v>0.04</v>
      </c>
    </row>
    <row r="30" spans="1:14">
      <c r="A30" s="345" t="s">
        <v>243</v>
      </c>
      <c r="B30" s="361" t="s">
        <v>329</v>
      </c>
      <c r="C30" s="362">
        <v>0.03</v>
      </c>
      <c r="D30" s="362">
        <v>0.04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rgb="FFFF0000"/>
  </sheetPr>
  <dimension ref="A1:O30"/>
  <sheetViews>
    <sheetView workbookViewId="0">
      <selection activeCell="J18" sqref="J18"/>
    </sheetView>
  </sheetViews>
  <sheetFormatPr baseColWidth="10" defaultColWidth="9.1640625" defaultRowHeight="14" x14ac:dyDescent="0"/>
  <cols>
    <col min="1" max="1" width="24.33203125" style="345" customWidth="1"/>
    <col min="2" max="2" width="12.5" style="345" bestFit="1" customWidth="1"/>
    <col min="3" max="11" width="9.83203125" style="345" bestFit="1" customWidth="1"/>
    <col min="12" max="12" width="11.33203125" style="345" bestFit="1" customWidth="1"/>
    <col min="13" max="14" width="9.83203125" style="345" bestFit="1" customWidth="1"/>
    <col min="15" max="15" width="11.33203125" style="345" bestFit="1" customWidth="1"/>
    <col min="16" max="16384" width="9.1640625" style="345"/>
  </cols>
  <sheetData>
    <row r="1" spans="1:15" ht="45">
      <c r="A1" s="343" t="s">
        <v>309</v>
      </c>
      <c r="B1" s="344"/>
    </row>
    <row r="2" spans="1:15">
      <c r="B2" s="346"/>
    </row>
    <row r="3" spans="1:15">
      <c r="A3" s="354" t="s">
        <v>310</v>
      </c>
      <c r="B3" s="355" t="s">
        <v>311</v>
      </c>
      <c r="C3" s="356">
        <v>37622</v>
      </c>
      <c r="D3" s="356">
        <v>37653</v>
      </c>
      <c r="E3" s="356">
        <v>37681</v>
      </c>
      <c r="F3" s="356">
        <v>37712</v>
      </c>
      <c r="G3" s="356">
        <v>37742</v>
      </c>
      <c r="H3" s="356">
        <v>37773</v>
      </c>
      <c r="I3" s="356">
        <v>37803</v>
      </c>
      <c r="J3" s="356">
        <v>37834</v>
      </c>
      <c r="K3" s="356">
        <v>37865</v>
      </c>
      <c r="L3" s="356">
        <v>37895</v>
      </c>
      <c r="M3" s="356">
        <v>37926</v>
      </c>
      <c r="N3" s="356">
        <v>37956</v>
      </c>
      <c r="O3" s="363" t="s">
        <v>54</v>
      </c>
    </row>
    <row r="4" spans="1:15">
      <c r="A4" s="345" t="s">
        <v>165</v>
      </c>
      <c r="B4" s="346">
        <v>6000</v>
      </c>
      <c r="C4" s="352">
        <v>19087.98</v>
      </c>
      <c r="D4" s="352">
        <v>22848.73</v>
      </c>
      <c r="E4" s="352">
        <v>29388.720000000001</v>
      </c>
      <c r="F4" s="352">
        <v>30118.639999999999</v>
      </c>
      <c r="G4" s="352">
        <v>33703.199999999997</v>
      </c>
      <c r="H4" s="352">
        <v>20417.759999999998</v>
      </c>
      <c r="I4" s="352">
        <v>23004.77</v>
      </c>
      <c r="J4" s="352">
        <v>22000.58</v>
      </c>
      <c r="K4" s="352">
        <v>27048.63</v>
      </c>
      <c r="L4" s="352">
        <v>44595.74</v>
      </c>
      <c r="M4" s="352">
        <v>28125.73</v>
      </c>
      <c r="N4" s="352">
        <v>27223.81</v>
      </c>
      <c r="O4" s="350">
        <f t="shared" ref="O4:O14" si="0">SUM(C4:N4)</f>
        <v>327564.28999999998</v>
      </c>
    </row>
    <row r="5" spans="1:15">
      <c r="A5" s="345" t="s">
        <v>173</v>
      </c>
      <c r="B5" s="346">
        <v>7000</v>
      </c>
      <c r="C5" s="352"/>
      <c r="D5" s="352"/>
      <c r="E5" s="352"/>
      <c r="F5" s="352"/>
      <c r="G5" s="352"/>
      <c r="H5" s="352"/>
      <c r="I5" s="352"/>
      <c r="J5" s="352">
        <v>1.02</v>
      </c>
      <c r="K5" s="352"/>
      <c r="L5" s="352">
        <v>291.19</v>
      </c>
      <c r="M5" s="352">
        <v>395.2</v>
      </c>
      <c r="N5" s="352">
        <v>941.93</v>
      </c>
      <c r="O5" s="350">
        <f t="shared" si="0"/>
        <v>1629.34</v>
      </c>
    </row>
    <row r="6" spans="1:15">
      <c r="A6" s="345" t="s">
        <v>179</v>
      </c>
      <c r="B6" s="346">
        <v>10000</v>
      </c>
      <c r="C6" s="352">
        <v>1079.1199999999999</v>
      </c>
      <c r="D6" s="352">
        <v>4731.47</v>
      </c>
      <c r="E6" s="352"/>
      <c r="F6" s="352"/>
      <c r="G6" s="352">
        <v>2169.33</v>
      </c>
      <c r="H6" s="352"/>
      <c r="I6" s="352"/>
      <c r="J6" s="352">
        <v>4098.4399999999996</v>
      </c>
      <c r="K6" s="352"/>
      <c r="L6" s="352"/>
      <c r="M6" s="352">
        <v>4423.34</v>
      </c>
      <c r="N6" s="352">
        <v>29.2</v>
      </c>
      <c r="O6" s="350">
        <f t="shared" si="0"/>
        <v>16530.900000000001</v>
      </c>
    </row>
    <row r="7" spans="1:15">
      <c r="A7" s="345" t="s">
        <v>192</v>
      </c>
      <c r="B7" s="346">
        <v>15000</v>
      </c>
      <c r="C7" s="352">
        <v>336.77</v>
      </c>
      <c r="D7" s="352">
        <v>506.61</v>
      </c>
      <c r="E7" s="352">
        <v>730.79</v>
      </c>
      <c r="F7" s="352">
        <v>675.19</v>
      </c>
      <c r="G7" s="352">
        <v>816.59</v>
      </c>
      <c r="H7" s="352">
        <v>452.37</v>
      </c>
      <c r="I7" s="352">
        <v>459.64</v>
      </c>
      <c r="J7" s="352">
        <v>447.55</v>
      </c>
      <c r="K7" s="352">
        <v>621.69000000000005</v>
      </c>
      <c r="L7" s="352">
        <v>949.07</v>
      </c>
      <c r="M7" s="352">
        <v>423.38</v>
      </c>
      <c r="N7" s="352">
        <v>628.38</v>
      </c>
      <c r="O7" s="350">
        <f t="shared" si="0"/>
        <v>7048.0300000000007</v>
      </c>
    </row>
    <row r="8" spans="1:15">
      <c r="A8" s="345" t="s">
        <v>195</v>
      </c>
      <c r="B8" s="346">
        <v>18000</v>
      </c>
      <c r="C8" s="352">
        <v>353012.86</v>
      </c>
      <c r="D8" s="352">
        <v>537338.39</v>
      </c>
      <c r="E8" s="352">
        <v>786266.99</v>
      </c>
      <c r="F8" s="352">
        <v>722512.57</v>
      </c>
      <c r="G8" s="352">
        <v>878789.82</v>
      </c>
      <c r="H8" s="352">
        <v>479120.38</v>
      </c>
      <c r="I8" s="352">
        <v>483725.42</v>
      </c>
      <c r="J8" s="352">
        <v>466894.93</v>
      </c>
      <c r="K8" s="352">
        <v>657639.88</v>
      </c>
      <c r="L8" s="352">
        <v>999151.33</v>
      </c>
      <c r="M8" s="352">
        <v>459164.14</v>
      </c>
      <c r="N8" s="352">
        <v>662518.36</v>
      </c>
      <c r="O8" s="350">
        <f t="shared" si="0"/>
        <v>7486135.0699999994</v>
      </c>
    </row>
    <row r="9" spans="1:15">
      <c r="A9" s="345" t="s">
        <v>211</v>
      </c>
      <c r="B9" s="346">
        <v>21000</v>
      </c>
      <c r="C9" s="352">
        <v>1015.2</v>
      </c>
      <c r="D9" s="352">
        <v>1436.16</v>
      </c>
      <c r="E9" s="352">
        <v>2021.51</v>
      </c>
      <c r="F9" s="352">
        <v>552.91</v>
      </c>
      <c r="G9" s="352">
        <v>2211.12</v>
      </c>
      <c r="H9" s="352">
        <v>1274.7</v>
      </c>
      <c r="I9" s="352">
        <v>1383.77</v>
      </c>
      <c r="J9" s="352">
        <v>1263.42</v>
      </c>
      <c r="K9" s="352">
        <v>1882.34</v>
      </c>
      <c r="L9" s="352">
        <v>2549.7399999999998</v>
      </c>
      <c r="M9" s="352">
        <v>1253.82</v>
      </c>
      <c r="N9" s="352">
        <v>1734.71</v>
      </c>
      <c r="O9" s="350">
        <f t="shared" si="0"/>
        <v>18579.400000000001</v>
      </c>
    </row>
    <row r="10" spans="1:15">
      <c r="A10" s="345" t="s">
        <v>217</v>
      </c>
      <c r="B10" s="346">
        <v>24000</v>
      </c>
      <c r="C10" s="352">
        <v>402.9</v>
      </c>
      <c r="D10" s="352">
        <v>175.57</v>
      </c>
      <c r="E10" s="352">
        <v>355.79</v>
      </c>
      <c r="F10" s="352">
        <v>221.37</v>
      </c>
      <c r="G10" s="352">
        <v>143.78</v>
      </c>
      <c r="H10" s="352">
        <v>256.60000000000002</v>
      </c>
      <c r="I10" s="352">
        <v>217.16</v>
      </c>
      <c r="J10" s="352">
        <v>269.16000000000003</v>
      </c>
      <c r="K10" s="352">
        <v>331.48</v>
      </c>
      <c r="L10" s="352">
        <v>338.45</v>
      </c>
      <c r="M10" s="352">
        <v>162.86000000000001</v>
      </c>
      <c r="N10" s="352">
        <v>308.64</v>
      </c>
      <c r="O10" s="350">
        <f t="shared" si="0"/>
        <v>3183.76</v>
      </c>
    </row>
    <row r="11" spans="1:15">
      <c r="A11" s="345" t="s">
        <v>221</v>
      </c>
      <c r="B11" s="346">
        <v>25000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0">
        <f t="shared" si="0"/>
        <v>0</v>
      </c>
    </row>
    <row r="12" spans="1:15">
      <c r="A12" s="345" t="s">
        <v>231</v>
      </c>
      <c r="B12" s="346">
        <v>27000</v>
      </c>
      <c r="C12" s="352">
        <v>10118.58</v>
      </c>
      <c r="D12" s="352">
        <v>13611.61</v>
      </c>
      <c r="E12" s="352">
        <v>15522.33</v>
      </c>
      <c r="F12" s="352">
        <v>14262.19</v>
      </c>
      <c r="G12" s="352">
        <v>18700.939999999999</v>
      </c>
      <c r="H12" s="352">
        <v>14557.22</v>
      </c>
      <c r="I12" s="352">
        <v>15493.07</v>
      </c>
      <c r="J12" s="352">
        <v>16521.07</v>
      </c>
      <c r="K12" s="352">
        <v>20845.25</v>
      </c>
      <c r="L12" s="352">
        <v>22933.82</v>
      </c>
      <c r="M12" s="352">
        <v>13023.1</v>
      </c>
      <c r="N12" s="352">
        <v>23357.26</v>
      </c>
      <c r="O12" s="350">
        <f t="shared" si="0"/>
        <v>198946.44000000003</v>
      </c>
    </row>
    <row r="13" spans="1:15">
      <c r="A13" s="345" t="s">
        <v>243</v>
      </c>
      <c r="B13" s="346">
        <v>29000</v>
      </c>
      <c r="C13" s="352">
        <v>12539.43</v>
      </c>
      <c r="D13" s="352">
        <v>18815.78</v>
      </c>
      <c r="E13" s="352">
        <v>23207.43</v>
      </c>
      <c r="F13" s="352">
        <v>21637.74</v>
      </c>
      <c r="G13" s="352">
        <v>27156.400000000001</v>
      </c>
      <c r="H13" s="352">
        <v>15288.82</v>
      </c>
      <c r="I13" s="352">
        <v>16435.259999999998</v>
      </c>
      <c r="J13" s="352">
        <v>17899</v>
      </c>
      <c r="K13" s="352">
        <v>20720.12</v>
      </c>
      <c r="L13" s="352">
        <v>37288.769999999997</v>
      </c>
      <c r="M13" s="352">
        <v>17385.990000000002</v>
      </c>
      <c r="N13" s="352">
        <v>21337.1</v>
      </c>
      <c r="O13" s="350">
        <f t="shared" si="0"/>
        <v>249711.84</v>
      </c>
    </row>
    <row r="14" spans="1:15" ht="15" thickBot="1">
      <c r="A14" s="345" t="s">
        <v>312</v>
      </c>
      <c r="B14" s="357" t="s">
        <v>313</v>
      </c>
      <c r="C14" s="358">
        <v>397592.84</v>
      </c>
      <c r="D14" s="358">
        <v>599464.32000000007</v>
      </c>
      <c r="E14" s="358">
        <v>857493.56</v>
      </c>
      <c r="F14" s="358">
        <v>789980.60999999987</v>
      </c>
      <c r="G14" s="358">
        <v>963691.17999999993</v>
      </c>
      <c r="H14" s="358">
        <v>531367.85</v>
      </c>
      <c r="I14" s="358">
        <v>540719.09</v>
      </c>
      <c r="J14" s="358">
        <v>529395.16999999993</v>
      </c>
      <c r="K14" s="358">
        <v>729089.3899999999</v>
      </c>
      <c r="L14" s="358">
        <v>1108098.1099999999</v>
      </c>
      <c r="M14" s="358">
        <v>524357.56000000006</v>
      </c>
      <c r="N14" s="358">
        <v>738079.3899999999</v>
      </c>
      <c r="O14" s="364">
        <f t="shared" si="0"/>
        <v>8309329.0699999994</v>
      </c>
    </row>
    <row r="15" spans="1:15" ht="15" thickTop="1">
      <c r="A15" s="345" t="s">
        <v>312</v>
      </c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</row>
    <row r="16" spans="1:15">
      <c r="A16" s="345" t="s">
        <v>312</v>
      </c>
      <c r="B16" s="345" t="s">
        <v>314</v>
      </c>
      <c r="C16" s="352">
        <f t="shared" ref="C16:N16" si="1">C14</f>
        <v>397592.84</v>
      </c>
      <c r="D16" s="352">
        <f t="shared" si="1"/>
        <v>599464.32000000007</v>
      </c>
      <c r="E16" s="352">
        <f t="shared" si="1"/>
        <v>857493.56</v>
      </c>
      <c r="F16" s="352">
        <f t="shared" si="1"/>
        <v>789980.60999999987</v>
      </c>
      <c r="G16" s="352">
        <f t="shared" si="1"/>
        <v>963691.17999999993</v>
      </c>
      <c r="H16" s="352">
        <f t="shared" si="1"/>
        <v>531367.85</v>
      </c>
      <c r="I16" s="352">
        <f t="shared" si="1"/>
        <v>540719.09</v>
      </c>
      <c r="J16" s="352">
        <f t="shared" si="1"/>
        <v>529395.16999999993</v>
      </c>
      <c r="K16" s="352">
        <f t="shared" si="1"/>
        <v>729089.3899999999</v>
      </c>
      <c r="L16" s="352">
        <f t="shared" si="1"/>
        <v>1108098.1099999999</v>
      </c>
      <c r="M16" s="352">
        <f t="shared" si="1"/>
        <v>524357.56000000006</v>
      </c>
      <c r="N16" s="352">
        <f t="shared" si="1"/>
        <v>738079.3899999999</v>
      </c>
    </row>
    <row r="17" spans="1:14">
      <c r="A17" s="345" t="s">
        <v>312</v>
      </c>
      <c r="B17" s="345" t="s">
        <v>315</v>
      </c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</row>
    <row r="18" spans="1:14">
      <c r="A18" s="345" t="s">
        <v>312</v>
      </c>
      <c r="B18" s="345" t="s">
        <v>265</v>
      </c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</row>
    <row r="20" spans="1:14">
      <c r="A20" s="359" t="s">
        <v>316</v>
      </c>
      <c r="B20" s="359" t="s">
        <v>317</v>
      </c>
      <c r="C20" s="360" t="s">
        <v>318</v>
      </c>
      <c r="D20" s="360" t="s">
        <v>319</v>
      </c>
    </row>
    <row r="21" spans="1:14">
      <c r="A21" s="345" t="s">
        <v>165</v>
      </c>
      <c r="B21" s="361" t="s">
        <v>320</v>
      </c>
      <c r="C21" s="362">
        <v>0.03</v>
      </c>
      <c r="D21" s="362">
        <v>0.04</v>
      </c>
    </row>
    <row r="22" spans="1:14">
      <c r="A22" s="345" t="s">
        <v>173</v>
      </c>
      <c r="B22" s="361" t="s">
        <v>321</v>
      </c>
      <c r="C22" s="362">
        <v>0.03</v>
      </c>
      <c r="D22" s="362"/>
    </row>
    <row r="23" spans="1:14">
      <c r="A23" s="345" t="s">
        <v>179</v>
      </c>
      <c r="B23" s="361" t="s">
        <v>322</v>
      </c>
      <c r="C23" s="362">
        <v>0.03</v>
      </c>
      <c r="D23" s="362"/>
    </row>
    <row r="24" spans="1:14">
      <c r="A24" s="345" t="s">
        <v>192</v>
      </c>
      <c r="B24" s="361" t="s">
        <v>323</v>
      </c>
      <c r="C24" s="362">
        <v>0.03</v>
      </c>
      <c r="D24" s="362">
        <v>0.04</v>
      </c>
    </row>
    <row r="25" spans="1:14">
      <c r="A25" s="345" t="s">
        <v>195</v>
      </c>
      <c r="B25" s="361" t="s">
        <v>324</v>
      </c>
      <c r="C25" s="362">
        <v>0.03</v>
      </c>
      <c r="D25" s="362">
        <v>0.04</v>
      </c>
    </row>
    <row r="26" spans="1:14">
      <c r="A26" s="345" t="s">
        <v>211</v>
      </c>
      <c r="B26" s="361" t="s">
        <v>325</v>
      </c>
      <c r="C26" s="362">
        <v>0.03</v>
      </c>
      <c r="D26" s="362">
        <v>0.04</v>
      </c>
    </row>
    <row r="27" spans="1:14">
      <c r="A27" s="345" t="s">
        <v>217</v>
      </c>
      <c r="B27" s="361" t="s">
        <v>326</v>
      </c>
      <c r="C27" s="362">
        <v>0.03</v>
      </c>
      <c r="D27" s="362"/>
    </row>
    <row r="28" spans="1:14">
      <c r="A28" s="345" t="s">
        <v>221</v>
      </c>
      <c r="B28" s="361" t="s">
        <v>327</v>
      </c>
      <c r="C28" s="362">
        <v>0.03</v>
      </c>
      <c r="D28" s="362">
        <v>0.04</v>
      </c>
    </row>
    <row r="29" spans="1:14">
      <c r="A29" s="345" t="s">
        <v>231</v>
      </c>
      <c r="B29" s="361" t="s">
        <v>328</v>
      </c>
      <c r="C29" s="362">
        <v>0.03</v>
      </c>
      <c r="D29" s="362">
        <v>0.04</v>
      </c>
    </row>
    <row r="30" spans="1:14">
      <c r="A30" s="345" t="s">
        <v>243</v>
      </c>
      <c r="B30" s="361" t="s">
        <v>329</v>
      </c>
      <c r="C30" s="362">
        <v>0.03</v>
      </c>
      <c r="D30" s="362">
        <v>0.04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 enableFormatConditionsCalculation="0">
    <tabColor rgb="FFFFFF00"/>
    <pageSetUpPr fitToPage="1"/>
  </sheetPr>
  <dimension ref="A1:S43"/>
  <sheetViews>
    <sheetView zoomScale="150" zoomScaleNormal="150" zoomScalePageLayoutView="150" workbookViewId="0">
      <pane xSplit="1" ySplit="3" topLeftCell="B4" activePane="bottomRight" state="frozen"/>
      <selection activeCell="H31" sqref="H31"/>
      <selection pane="topRight" activeCell="H31" sqref="H31"/>
      <selection pane="bottomLeft" activeCell="H31" sqref="H31"/>
      <selection pane="bottomRight" activeCell="O29" sqref="O29"/>
    </sheetView>
  </sheetViews>
  <sheetFormatPr baseColWidth="10" defaultColWidth="9.1640625" defaultRowHeight="10" x14ac:dyDescent="0"/>
  <cols>
    <col min="1" max="1" width="15.33203125" style="1" bestFit="1" customWidth="1"/>
    <col min="2" max="5" width="11" style="1" bestFit="1" customWidth="1"/>
    <col min="6" max="6" width="11.5" style="1" bestFit="1" customWidth="1"/>
    <col min="7" max="9" width="11" style="1" bestFit="1" customWidth="1"/>
    <col min="10" max="10" width="10.83203125" style="1" bestFit="1" customWidth="1"/>
    <col min="11" max="11" width="10.5" style="1" bestFit="1" customWidth="1"/>
    <col min="12" max="13" width="9.5" style="1" bestFit="1" customWidth="1"/>
    <col min="14" max="15" width="11.6640625" style="1" bestFit="1" customWidth="1"/>
    <col min="16" max="16" width="10.1640625" style="1" bestFit="1" customWidth="1"/>
    <col min="17" max="18" width="9.1640625" style="1"/>
    <col min="19" max="19" width="10.1640625" style="1" bestFit="1" customWidth="1"/>
    <col min="20" max="16384" width="9.1640625" style="1"/>
  </cols>
  <sheetData>
    <row r="1" spans="1:19" ht="17">
      <c r="A1" s="709" t="s">
        <v>361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</row>
    <row r="2" spans="1:19" ht="11" thickBot="1">
      <c r="B2" s="2"/>
    </row>
    <row r="3" spans="1:19" ht="11" thickBot="1">
      <c r="A3" s="129" t="s">
        <v>42</v>
      </c>
      <c r="B3" s="130" t="s">
        <v>2</v>
      </c>
      <c r="C3" s="131" t="s">
        <v>3</v>
      </c>
      <c r="D3" s="131" t="s">
        <v>4</v>
      </c>
      <c r="E3" s="131" t="s">
        <v>5</v>
      </c>
      <c r="F3" s="131" t="s">
        <v>6</v>
      </c>
      <c r="G3" s="131" t="s">
        <v>7</v>
      </c>
      <c r="H3" s="131" t="s">
        <v>8</v>
      </c>
      <c r="I3" s="131" t="s">
        <v>9</v>
      </c>
      <c r="J3" s="131" t="s">
        <v>10</v>
      </c>
      <c r="K3" s="131" t="s">
        <v>11</v>
      </c>
      <c r="L3" s="131" t="s">
        <v>12</v>
      </c>
      <c r="M3" s="398" t="s">
        <v>13</v>
      </c>
      <c r="N3" s="533" t="s">
        <v>359</v>
      </c>
      <c r="O3" s="443" t="s">
        <v>349</v>
      </c>
      <c r="P3" s="645" t="s">
        <v>16</v>
      </c>
      <c r="Q3" s="626" t="s">
        <v>58</v>
      </c>
    </row>
    <row r="4" spans="1:19">
      <c r="A4" s="37" t="s">
        <v>368</v>
      </c>
      <c r="B4" s="449">
        <v>7039.48</v>
      </c>
      <c r="C4" s="449">
        <v>11015.26</v>
      </c>
      <c r="D4" s="449">
        <v>5443.12</v>
      </c>
      <c r="E4" s="449">
        <v>6183.28</v>
      </c>
      <c r="F4" s="449">
        <v>12699.1</v>
      </c>
      <c r="G4" s="449">
        <v>16547.580000000002</v>
      </c>
      <c r="H4" s="449">
        <v>7740.82</v>
      </c>
      <c r="I4" s="449">
        <v>14466.3</v>
      </c>
      <c r="J4" s="449">
        <v>9241.4</v>
      </c>
      <c r="K4" s="449"/>
      <c r="L4" s="449"/>
      <c r="M4" s="550"/>
      <c r="N4" s="553">
        <f t="shared" ref="N4:N31" si="0">SUM(B4:M4)</f>
        <v>90376.34</v>
      </c>
      <c r="O4" s="388">
        <f>SUM('R 2016'!B4:J4)</f>
        <v>80413.95</v>
      </c>
      <c r="P4" s="638">
        <f t="shared" ref="P4:P31" si="1">N4/O4-1</f>
        <v>0.123888827746927</v>
      </c>
      <c r="Q4" s="623">
        <f>N4/$N$32</f>
        <v>2.3151634272892286E-3</v>
      </c>
    </row>
    <row r="5" spans="1:19">
      <c r="A5" s="37" t="s">
        <v>369</v>
      </c>
      <c r="B5" s="449">
        <v>37366.629999999997</v>
      </c>
      <c r="C5" s="449">
        <v>60062.8</v>
      </c>
      <c r="D5" s="449">
        <v>31100.76</v>
      </c>
      <c r="E5" s="449">
        <v>35705.85</v>
      </c>
      <c r="F5" s="449">
        <v>62469.36</v>
      </c>
      <c r="G5" s="449">
        <v>37033.06</v>
      </c>
      <c r="H5" s="449">
        <v>37461.47</v>
      </c>
      <c r="I5" s="449">
        <v>67248.44</v>
      </c>
      <c r="J5" s="449">
        <v>55205.440000000002</v>
      </c>
      <c r="K5" s="449"/>
      <c r="L5" s="449"/>
      <c r="M5" s="550"/>
      <c r="N5" s="554">
        <f t="shared" si="0"/>
        <v>423653.80999999994</v>
      </c>
      <c r="O5" s="388">
        <f>SUM('R 2016'!B5:J5)</f>
        <v>414499.32</v>
      </c>
      <c r="P5" s="638">
        <f t="shared" si="1"/>
        <v>2.2085657462598274E-2</v>
      </c>
      <c r="Q5" s="623">
        <f t="shared" ref="Q5:Q32" si="2">N5/$N$32</f>
        <v>1.0852705550409982E-2</v>
      </c>
    </row>
    <row r="6" spans="1:19">
      <c r="A6" s="37" t="s">
        <v>370</v>
      </c>
      <c r="B6" s="449">
        <v>108605.26</v>
      </c>
      <c r="C6" s="449">
        <v>139856</v>
      </c>
      <c r="D6" s="449">
        <v>96326.65</v>
      </c>
      <c r="E6" s="449">
        <v>113383.75</v>
      </c>
      <c r="F6" s="449">
        <v>143307.10999999999</v>
      </c>
      <c r="G6" s="449">
        <v>103183.4</v>
      </c>
      <c r="H6" s="449">
        <v>124764.86</v>
      </c>
      <c r="I6" s="449">
        <v>141142.57999999999</v>
      </c>
      <c r="J6" s="449">
        <v>105007.29</v>
      </c>
      <c r="K6" s="449"/>
      <c r="L6" s="449"/>
      <c r="M6" s="550"/>
      <c r="N6" s="554">
        <f t="shared" si="0"/>
        <v>1075576.8999999999</v>
      </c>
      <c r="O6" s="388">
        <f>SUM('R 2016'!B6:J6)</f>
        <v>1047615.28</v>
      </c>
      <c r="P6" s="638">
        <f t="shared" si="1"/>
        <v>2.669073326230964E-2</v>
      </c>
      <c r="Q6" s="623">
        <f t="shared" si="2"/>
        <v>2.7552966872935149E-2</v>
      </c>
    </row>
    <row r="7" spans="1:19">
      <c r="A7" s="37" t="s">
        <v>371</v>
      </c>
      <c r="B7" s="449">
        <v>12905.78</v>
      </c>
      <c r="C7" s="449">
        <v>24208.86</v>
      </c>
      <c r="D7" s="449">
        <v>11926.25</v>
      </c>
      <c r="E7" s="449">
        <v>12245.91</v>
      </c>
      <c r="F7" s="449">
        <v>30928.21</v>
      </c>
      <c r="G7" s="449">
        <v>18259.740000000002</v>
      </c>
      <c r="H7" s="449">
        <v>15015.2</v>
      </c>
      <c r="I7" s="449">
        <v>28803.05</v>
      </c>
      <c r="J7" s="449">
        <v>15774.22</v>
      </c>
      <c r="K7" s="449"/>
      <c r="L7" s="449"/>
      <c r="M7" s="550"/>
      <c r="N7" s="554">
        <f t="shared" si="0"/>
        <v>170067.22</v>
      </c>
      <c r="O7" s="388">
        <f>SUM('R 2016'!B7:J7)</f>
        <v>168819.63</v>
      </c>
      <c r="P7" s="638">
        <f t="shared" si="1"/>
        <v>7.3900766160901465E-3</v>
      </c>
      <c r="Q7" s="623">
        <f t="shared" si="2"/>
        <v>4.3565982858428578E-3</v>
      </c>
    </row>
    <row r="8" spans="1:19">
      <c r="A8" s="37" t="s">
        <v>372</v>
      </c>
      <c r="B8" s="449">
        <v>396.04</v>
      </c>
      <c r="C8" s="449">
        <v>140.53</v>
      </c>
      <c r="D8" s="449">
        <v>152.05000000000001</v>
      </c>
      <c r="E8" s="449">
        <v>229.67</v>
      </c>
      <c r="F8" s="449">
        <v>399.1</v>
      </c>
      <c r="G8" s="449">
        <v>1067.42</v>
      </c>
      <c r="H8" s="449">
        <v>1994.27</v>
      </c>
      <c r="I8" s="449">
        <v>5165.28</v>
      </c>
      <c r="J8" s="449">
        <v>1404.78</v>
      </c>
      <c r="K8" s="449"/>
      <c r="L8" s="449"/>
      <c r="M8" s="550"/>
      <c r="N8" s="554">
        <f t="shared" si="0"/>
        <v>10949.140000000001</v>
      </c>
      <c r="O8" s="388">
        <f>SUM('R 2016'!B8:J8)</f>
        <v>10666.41</v>
      </c>
      <c r="P8" s="638">
        <f t="shared" si="1"/>
        <v>2.650657531446865E-2</v>
      </c>
      <c r="Q8" s="623">
        <f t="shared" si="2"/>
        <v>2.8048323807170758E-4</v>
      </c>
    </row>
    <row r="9" spans="1:19">
      <c r="A9" s="37" t="s">
        <v>373</v>
      </c>
      <c r="B9" s="449">
        <v>309303</v>
      </c>
      <c r="C9" s="449">
        <v>408964.39</v>
      </c>
      <c r="D9" s="449">
        <v>286372.73</v>
      </c>
      <c r="E9" s="449">
        <v>332107.71999999997</v>
      </c>
      <c r="F9" s="449">
        <v>401200.26</v>
      </c>
      <c r="G9" s="449">
        <v>312750.46000000002</v>
      </c>
      <c r="H9" s="449">
        <v>356686.56</v>
      </c>
      <c r="I9" s="449">
        <v>476280.81</v>
      </c>
      <c r="J9" s="449">
        <v>348711.45</v>
      </c>
      <c r="K9" s="449"/>
      <c r="L9" s="449"/>
      <c r="M9" s="550"/>
      <c r="N9" s="554">
        <f t="shared" si="0"/>
        <v>3232377.38</v>
      </c>
      <c r="O9" s="388">
        <f>SUM('R 2016'!B9:J9)</f>
        <v>3074684.0300000003</v>
      </c>
      <c r="P9" s="638">
        <f t="shared" si="1"/>
        <v>5.128766028033116E-2</v>
      </c>
      <c r="Q9" s="623">
        <f t="shared" si="2"/>
        <v>8.2803551165857983E-2</v>
      </c>
    </row>
    <row r="10" spans="1:19">
      <c r="A10" s="37" t="s">
        <v>374</v>
      </c>
      <c r="B10" s="449">
        <v>12614.06</v>
      </c>
      <c r="C10" s="449">
        <v>15460.9</v>
      </c>
      <c r="D10" s="449">
        <v>10643.14</v>
      </c>
      <c r="E10" s="449">
        <v>8744.74</v>
      </c>
      <c r="F10" s="449">
        <v>18853.11</v>
      </c>
      <c r="G10" s="449">
        <v>10322.74</v>
      </c>
      <c r="H10" s="449">
        <v>11304.94</v>
      </c>
      <c r="I10" s="449">
        <v>20871.05</v>
      </c>
      <c r="J10" s="449">
        <v>13775.17</v>
      </c>
      <c r="K10" s="449"/>
      <c r="L10" s="449"/>
      <c r="M10" s="550"/>
      <c r="N10" s="554">
        <f t="shared" si="0"/>
        <v>122589.85</v>
      </c>
      <c r="O10" s="388">
        <f>SUM('R 2016'!B10:J10)</f>
        <v>113531.69000000002</v>
      </c>
      <c r="P10" s="638">
        <f t="shared" si="1"/>
        <v>7.978530047425525E-2</v>
      </c>
      <c r="Q10" s="623">
        <f t="shared" si="2"/>
        <v>3.1403743200584633E-3</v>
      </c>
    </row>
    <row r="11" spans="1:19">
      <c r="A11" s="37" t="s">
        <v>375</v>
      </c>
      <c r="B11" s="449">
        <v>2938.89</v>
      </c>
      <c r="C11" s="449">
        <v>6187.23</v>
      </c>
      <c r="D11" s="449">
        <v>2063.4699999999998</v>
      </c>
      <c r="E11" s="449">
        <v>1885.15</v>
      </c>
      <c r="F11" s="449">
        <v>7297.61</v>
      </c>
      <c r="G11" s="449">
        <v>4729.38</v>
      </c>
      <c r="H11" s="449">
        <v>5914.7</v>
      </c>
      <c r="I11" s="449">
        <v>11066.04</v>
      </c>
      <c r="J11" s="449">
        <v>7623.17</v>
      </c>
      <c r="K11" s="449"/>
      <c r="L11" s="449"/>
      <c r="M11" s="550"/>
      <c r="N11" s="554">
        <f t="shared" si="0"/>
        <v>49705.64</v>
      </c>
      <c r="O11" s="388">
        <f>SUM('R 2016'!B11:J11)</f>
        <v>46354.829999999994</v>
      </c>
      <c r="P11" s="638">
        <f t="shared" si="1"/>
        <v>7.2286102656400786E-2</v>
      </c>
      <c r="Q11" s="623">
        <f t="shared" si="2"/>
        <v>1.2733053790184973E-3</v>
      </c>
    </row>
    <row r="12" spans="1:19">
      <c r="A12" s="37" t="s">
        <v>376</v>
      </c>
      <c r="B12" s="449">
        <v>11528.82</v>
      </c>
      <c r="C12" s="449">
        <v>6530.09</v>
      </c>
      <c r="D12" s="449">
        <v>2555.0300000000002</v>
      </c>
      <c r="E12" s="449">
        <v>5838.98</v>
      </c>
      <c r="F12" s="449">
        <v>14577.14</v>
      </c>
      <c r="G12" s="449">
        <v>23847.82</v>
      </c>
      <c r="H12" s="449">
        <v>32763.599999999999</v>
      </c>
      <c r="I12" s="449">
        <v>54778.04</v>
      </c>
      <c r="J12" s="449">
        <v>30211.599999999999</v>
      </c>
      <c r="K12" s="449"/>
      <c r="L12" s="449"/>
      <c r="M12" s="550"/>
      <c r="N12" s="554">
        <f t="shared" si="0"/>
        <v>182631.12</v>
      </c>
      <c r="O12" s="388">
        <f>SUM('R 2016'!B12:J12)</f>
        <v>154533.01</v>
      </c>
      <c r="P12" s="638">
        <f t="shared" si="1"/>
        <v>0.18182594126652929</v>
      </c>
      <c r="Q12" s="623">
        <f t="shared" si="2"/>
        <v>4.6784467008607611E-3</v>
      </c>
    </row>
    <row r="13" spans="1:19">
      <c r="A13" s="37" t="s">
        <v>377</v>
      </c>
      <c r="B13" s="450">
        <v>28399.83</v>
      </c>
      <c r="C13" s="450">
        <v>22133.91</v>
      </c>
      <c r="D13" s="450">
        <v>17387.71</v>
      </c>
      <c r="E13" s="450">
        <v>28526.99</v>
      </c>
      <c r="F13" s="450">
        <v>56661.440000000002</v>
      </c>
      <c r="G13" s="450">
        <v>60011.74</v>
      </c>
      <c r="H13" s="450">
        <v>70181.2</v>
      </c>
      <c r="I13" s="450">
        <v>62695.02</v>
      </c>
      <c r="J13" s="450">
        <v>49378.080000000002</v>
      </c>
      <c r="K13" s="450"/>
      <c r="L13" s="450"/>
      <c r="M13" s="551"/>
      <c r="N13" s="555">
        <f t="shared" si="0"/>
        <v>395375.92000000004</v>
      </c>
      <c r="O13" s="388">
        <f>SUM('R 2016'!B13:J13)</f>
        <v>371842.6</v>
      </c>
      <c r="P13" s="638">
        <f t="shared" si="1"/>
        <v>6.3288391378502729E-2</v>
      </c>
      <c r="Q13" s="623">
        <f t="shared" si="2"/>
        <v>1.0128313118398378E-2</v>
      </c>
    </row>
    <row r="14" spans="1:19">
      <c r="A14" s="37" t="s">
        <v>378</v>
      </c>
      <c r="B14" s="450">
        <v>51494.1</v>
      </c>
      <c r="C14" s="450">
        <v>71928.86</v>
      </c>
      <c r="D14" s="450">
        <v>50663.74</v>
      </c>
      <c r="E14" s="450">
        <v>62433.62</v>
      </c>
      <c r="F14" s="450">
        <v>74884.2</v>
      </c>
      <c r="G14" s="450">
        <v>48563.64</v>
      </c>
      <c r="H14" s="450">
        <v>58158.29</v>
      </c>
      <c r="I14" s="450">
        <v>80962.320000000007</v>
      </c>
      <c r="J14" s="450">
        <v>57413.25</v>
      </c>
      <c r="K14" s="450"/>
      <c r="L14" s="450"/>
      <c r="M14" s="551"/>
      <c r="N14" s="555">
        <f t="shared" si="0"/>
        <v>556502.02</v>
      </c>
      <c r="O14" s="388">
        <f>SUM('R 2016'!B14:J14)</f>
        <v>527797.41</v>
      </c>
      <c r="P14" s="638">
        <f t="shared" si="1"/>
        <v>5.4385659073241666E-2</v>
      </c>
      <c r="Q14" s="623">
        <f t="shared" si="2"/>
        <v>1.4255867452881795E-2</v>
      </c>
    </row>
    <row r="15" spans="1:19">
      <c r="A15" s="37" t="s">
        <v>379</v>
      </c>
      <c r="B15" s="450">
        <v>6993.12</v>
      </c>
      <c r="C15" s="450">
        <v>14986.51</v>
      </c>
      <c r="D15" s="450">
        <v>5067.2299999999996</v>
      </c>
      <c r="E15" s="450">
        <v>6953.23</v>
      </c>
      <c r="F15" s="450">
        <v>14159.69</v>
      </c>
      <c r="G15" s="450">
        <v>7620.21</v>
      </c>
      <c r="H15" s="450">
        <v>8117.05</v>
      </c>
      <c r="I15" s="450">
        <v>19864.48</v>
      </c>
      <c r="J15" s="450">
        <v>8309.0300000000007</v>
      </c>
      <c r="K15" s="450"/>
      <c r="L15" s="450"/>
      <c r="M15" s="551"/>
      <c r="N15" s="554">
        <f t="shared" si="0"/>
        <v>92070.55</v>
      </c>
      <c r="O15" s="388">
        <f>SUM('R 2016'!B15:J15)</f>
        <v>90297.76999999999</v>
      </c>
      <c r="P15" s="638">
        <f t="shared" si="1"/>
        <v>1.9632600007730039E-2</v>
      </c>
      <c r="Q15" s="623">
        <f t="shared" si="2"/>
        <v>2.3585638684904069E-3</v>
      </c>
    </row>
    <row r="16" spans="1:19">
      <c r="A16" s="37" t="s">
        <v>380</v>
      </c>
      <c r="B16" s="450">
        <v>10253.450000000001</v>
      </c>
      <c r="C16" s="450">
        <v>12950.13</v>
      </c>
      <c r="D16" s="450">
        <v>8892.08</v>
      </c>
      <c r="E16" s="450">
        <v>10486.45</v>
      </c>
      <c r="F16" s="450">
        <v>19882.61</v>
      </c>
      <c r="G16" s="450">
        <v>16247.19</v>
      </c>
      <c r="H16" s="450">
        <v>18721.73</v>
      </c>
      <c r="I16" s="450">
        <v>43271.040000000001</v>
      </c>
      <c r="J16" s="450">
        <v>24438.27</v>
      </c>
      <c r="K16" s="450"/>
      <c r="L16" s="450"/>
      <c r="M16" s="551"/>
      <c r="N16" s="555">
        <f t="shared" si="0"/>
        <v>165142.94999999998</v>
      </c>
      <c r="O16" s="388">
        <f>SUM('R 2016'!B16:J16)</f>
        <v>147473.511</v>
      </c>
      <c r="P16" s="638">
        <f t="shared" si="1"/>
        <v>0.1198143238076157</v>
      </c>
      <c r="Q16" s="623">
        <f t="shared" si="2"/>
        <v>4.2304536576127528E-3</v>
      </c>
      <c r="S16" s="323"/>
    </row>
    <row r="17" spans="1:19">
      <c r="A17" s="37" t="s">
        <v>381</v>
      </c>
      <c r="B17" s="450">
        <v>6990.45</v>
      </c>
      <c r="C17" s="450">
        <v>11118.71</v>
      </c>
      <c r="D17" s="450">
        <v>7636.06</v>
      </c>
      <c r="E17" s="450">
        <v>5752.21</v>
      </c>
      <c r="F17" s="450">
        <v>13406.68</v>
      </c>
      <c r="G17" s="450">
        <v>7835.29</v>
      </c>
      <c r="H17" s="450">
        <v>6971.5</v>
      </c>
      <c r="I17" s="450">
        <v>15771.74</v>
      </c>
      <c r="J17" s="450">
        <v>10504.54</v>
      </c>
      <c r="K17" s="450"/>
      <c r="L17" s="450"/>
      <c r="M17" s="551"/>
      <c r="N17" s="555">
        <f t="shared" si="0"/>
        <v>85987.18</v>
      </c>
      <c r="O17" s="388">
        <f>SUM('R 2016'!B17:J17)</f>
        <v>78803.5</v>
      </c>
      <c r="P17" s="638">
        <f>N17/O17-1</f>
        <v>9.1159402818402624E-2</v>
      </c>
      <c r="Q17" s="623">
        <f t="shared" si="2"/>
        <v>2.2027266688575331E-3</v>
      </c>
      <c r="S17" s="323"/>
    </row>
    <row r="18" spans="1:19">
      <c r="A18" s="37" t="s">
        <v>382</v>
      </c>
      <c r="B18" s="450">
        <v>3764.02</v>
      </c>
      <c r="C18" s="450">
        <v>2702.2</v>
      </c>
      <c r="D18" s="450">
        <v>3449.13</v>
      </c>
      <c r="E18" s="450">
        <v>3795.18</v>
      </c>
      <c r="F18" s="450">
        <v>4669.2299999999996</v>
      </c>
      <c r="G18" s="450">
        <v>2852.05</v>
      </c>
      <c r="H18" s="450">
        <v>4319.16</v>
      </c>
      <c r="I18" s="450">
        <v>6705.55</v>
      </c>
      <c r="J18" s="450">
        <v>4810.32</v>
      </c>
      <c r="K18" s="450"/>
      <c r="L18" s="450"/>
      <c r="M18" s="551"/>
      <c r="N18" s="554">
        <f t="shared" si="0"/>
        <v>37066.839999999997</v>
      </c>
      <c r="O18" s="388">
        <f>SUM('R 2016'!B18:J18)</f>
        <v>32734.46</v>
      </c>
      <c r="P18" s="638">
        <f t="shared" si="1"/>
        <v>0.13234921242018349</v>
      </c>
      <c r="Q18" s="623">
        <f t="shared" si="2"/>
        <v>9.4953825672937711E-4</v>
      </c>
      <c r="S18" s="323"/>
    </row>
    <row r="19" spans="1:19">
      <c r="A19" s="37" t="s">
        <v>383</v>
      </c>
      <c r="B19" s="450">
        <v>625.57000000000005</v>
      </c>
      <c r="C19" s="450">
        <v>1389.6</v>
      </c>
      <c r="D19" s="450">
        <v>8100.02</v>
      </c>
      <c r="E19" s="450">
        <v>827.18</v>
      </c>
      <c r="F19" s="450">
        <v>1109.98</v>
      </c>
      <c r="G19" s="450">
        <v>467.18</v>
      </c>
      <c r="H19" s="450">
        <v>2202.5700000000002</v>
      </c>
      <c r="I19" s="450">
        <v>12983.68</v>
      </c>
      <c r="J19" s="450">
        <v>11722.72</v>
      </c>
      <c r="K19" s="450"/>
      <c r="L19" s="450"/>
      <c r="M19" s="551"/>
      <c r="N19" s="554">
        <f t="shared" si="0"/>
        <v>39428.5</v>
      </c>
      <c r="O19" s="388">
        <f>SUM('R 2016'!B19:J19)</f>
        <v>26667.360000000004</v>
      </c>
      <c r="P19" s="638">
        <f t="shared" si="1"/>
        <v>0.47853030821198628</v>
      </c>
      <c r="Q19" s="623">
        <f t="shared" si="2"/>
        <v>1.0100367108567725E-3</v>
      </c>
      <c r="S19" s="399"/>
    </row>
    <row r="20" spans="1:19">
      <c r="A20" s="37" t="s">
        <v>384</v>
      </c>
      <c r="B20" s="450">
        <v>1669046.09</v>
      </c>
      <c r="C20" s="450">
        <v>2298454.08</v>
      </c>
      <c r="D20" s="450">
        <v>1704883.86</v>
      </c>
      <c r="E20" s="450">
        <v>1888039.5</v>
      </c>
      <c r="F20" s="450">
        <v>2407621.36</v>
      </c>
      <c r="G20" s="450">
        <v>1765246.49</v>
      </c>
      <c r="H20" s="450">
        <v>1723061.22</v>
      </c>
      <c r="I20" s="450">
        <v>2439109.54</v>
      </c>
      <c r="J20" s="450">
        <v>1726036.88</v>
      </c>
      <c r="K20" s="450"/>
      <c r="L20" s="450"/>
      <c r="M20" s="551"/>
      <c r="N20" s="554">
        <f t="shared" si="0"/>
        <v>17621499.02</v>
      </c>
      <c r="O20" s="388">
        <f>SUM('R 2016'!B20:J20)</f>
        <v>16874239.199999999</v>
      </c>
      <c r="P20" s="638">
        <f t="shared" si="1"/>
        <v>4.4284059929647013E-2</v>
      </c>
      <c r="Q20" s="623">
        <f t="shared" si="2"/>
        <v>0.45140852202154885</v>
      </c>
    </row>
    <row r="21" spans="1:19">
      <c r="A21" s="37" t="s">
        <v>385</v>
      </c>
      <c r="B21" s="450">
        <v>3430.41</v>
      </c>
      <c r="C21" s="450">
        <v>7593.14</v>
      </c>
      <c r="D21" s="450">
        <v>2436.0100000000002</v>
      </c>
      <c r="E21" s="450">
        <v>4814</v>
      </c>
      <c r="F21" s="450">
        <v>10317.709999999999</v>
      </c>
      <c r="G21" s="450">
        <v>4861.3599999999997</v>
      </c>
      <c r="H21" s="450">
        <v>11096.31</v>
      </c>
      <c r="I21" s="450">
        <v>17069.560000000001</v>
      </c>
      <c r="J21" s="450">
        <v>6574.7</v>
      </c>
      <c r="K21" s="450"/>
      <c r="L21" s="450"/>
      <c r="M21" s="551"/>
      <c r="N21" s="555">
        <f t="shared" si="0"/>
        <v>68193.2</v>
      </c>
      <c r="O21" s="388">
        <f>SUM('R 2016'!B21:J21)</f>
        <v>89510.55</v>
      </c>
      <c r="P21" s="638">
        <f t="shared" si="1"/>
        <v>-0.23815460859083093</v>
      </c>
      <c r="Q21" s="623">
        <f t="shared" si="2"/>
        <v>1.7468997154545076E-3</v>
      </c>
    </row>
    <row r="22" spans="1:19">
      <c r="A22" s="37" t="s">
        <v>386</v>
      </c>
      <c r="B22" s="450">
        <v>7639.86</v>
      </c>
      <c r="C22" s="450">
        <v>23069.68</v>
      </c>
      <c r="D22" s="450">
        <v>5146.8900000000003</v>
      </c>
      <c r="E22" s="450">
        <v>5257.68</v>
      </c>
      <c r="F22" s="450">
        <v>23979.9</v>
      </c>
      <c r="G22" s="450">
        <v>7175.64</v>
      </c>
      <c r="H22" s="450">
        <v>8370.32</v>
      </c>
      <c r="I22" s="450">
        <v>27900.22</v>
      </c>
      <c r="J22" s="450">
        <v>7625.08</v>
      </c>
      <c r="K22" s="450"/>
      <c r="L22" s="450"/>
      <c r="M22" s="551"/>
      <c r="N22" s="554">
        <f t="shared" si="0"/>
        <v>116165.27</v>
      </c>
      <c r="O22" s="388">
        <f>SUM('R 2016'!B22:J22)</f>
        <v>114299.86000000002</v>
      </c>
      <c r="P22" s="638">
        <f t="shared" si="1"/>
        <v>1.6320317452707123E-2</v>
      </c>
      <c r="Q22" s="623">
        <f t="shared" si="2"/>
        <v>2.9757963713199567E-3</v>
      </c>
    </row>
    <row r="23" spans="1:19">
      <c r="A23" s="37" t="s">
        <v>387</v>
      </c>
      <c r="B23" s="450">
        <v>16788.2</v>
      </c>
      <c r="C23" s="450">
        <v>31509.39</v>
      </c>
      <c r="D23" s="450">
        <v>15891.15</v>
      </c>
      <c r="E23" s="450">
        <v>18514.419999999998</v>
      </c>
      <c r="F23" s="450">
        <v>27816.37</v>
      </c>
      <c r="G23" s="450">
        <v>26059.73</v>
      </c>
      <c r="H23" s="450">
        <v>23419.46</v>
      </c>
      <c r="I23" s="450">
        <v>32483.22</v>
      </c>
      <c r="J23" s="450">
        <v>18556.599999999999</v>
      </c>
      <c r="K23" s="450"/>
      <c r="L23" s="450"/>
      <c r="M23" s="551"/>
      <c r="N23" s="554">
        <f t="shared" si="0"/>
        <v>211038.54</v>
      </c>
      <c r="O23" s="388">
        <f>SUM('R 2016'!B23:J23)</f>
        <v>199730.11</v>
      </c>
      <c r="P23" s="638">
        <f t="shared" si="1"/>
        <v>5.6618553907570757E-2</v>
      </c>
      <c r="Q23" s="623">
        <f t="shared" si="2"/>
        <v>5.406157292456356E-3</v>
      </c>
    </row>
    <row r="24" spans="1:19">
      <c r="A24" s="37" t="s">
        <v>388</v>
      </c>
      <c r="B24" s="450">
        <v>145882.62</v>
      </c>
      <c r="C24" s="450">
        <v>347498.97</v>
      </c>
      <c r="D24" s="450">
        <v>382355.17</v>
      </c>
      <c r="E24" s="450">
        <v>421359.39</v>
      </c>
      <c r="F24" s="450">
        <v>369407.22</v>
      </c>
      <c r="G24" s="450">
        <v>130113.66</v>
      </c>
      <c r="H24" s="450">
        <v>112428.96</v>
      </c>
      <c r="I24" s="450">
        <v>238806.89</v>
      </c>
      <c r="J24" s="450">
        <v>222859.26</v>
      </c>
      <c r="K24" s="450"/>
      <c r="L24" s="450"/>
      <c r="M24" s="551"/>
      <c r="N24" s="555">
        <f t="shared" si="0"/>
        <v>2370712.1399999997</v>
      </c>
      <c r="O24" s="388">
        <f>SUM('R 2016'!B24:J24)</f>
        <v>2187442.5</v>
      </c>
      <c r="P24" s="638">
        <f t="shared" si="1"/>
        <v>8.3782609142868836E-2</v>
      </c>
      <c r="Q24" s="623">
        <f t="shared" si="2"/>
        <v>6.0730342069158602E-2</v>
      </c>
    </row>
    <row r="25" spans="1:19">
      <c r="A25" s="37" t="s">
        <v>389</v>
      </c>
      <c r="B25" s="450">
        <v>41010.769999999997</v>
      </c>
      <c r="C25" s="450">
        <v>59316.06</v>
      </c>
      <c r="D25" s="450">
        <v>29535.21</v>
      </c>
      <c r="E25" s="450">
        <v>43226.25</v>
      </c>
      <c r="F25" s="450">
        <v>60914.35</v>
      </c>
      <c r="G25" s="450">
        <v>45140.62</v>
      </c>
      <c r="H25" s="450">
        <v>51183</v>
      </c>
      <c r="I25" s="450">
        <v>62427.37</v>
      </c>
      <c r="J25" s="450">
        <v>45137.84</v>
      </c>
      <c r="K25" s="450"/>
      <c r="L25" s="450"/>
      <c r="M25" s="551"/>
      <c r="N25" s="554">
        <f t="shared" si="0"/>
        <v>437891.47</v>
      </c>
      <c r="O25" s="388">
        <f>SUM('R 2016'!B25:J25)</f>
        <v>414325.70999999996</v>
      </c>
      <c r="P25" s="638">
        <f t="shared" si="1"/>
        <v>5.6877377944998919E-2</v>
      </c>
      <c r="Q25" s="623">
        <f t="shared" si="2"/>
        <v>1.1217430540625108E-2</v>
      </c>
    </row>
    <row r="26" spans="1:19">
      <c r="A26" s="37" t="s">
        <v>390</v>
      </c>
      <c r="B26" s="450">
        <v>24899.5</v>
      </c>
      <c r="C26" s="450">
        <v>37323.47</v>
      </c>
      <c r="D26" s="450">
        <v>28846.37</v>
      </c>
      <c r="E26" s="450">
        <v>28518.89</v>
      </c>
      <c r="F26" s="450">
        <v>38159.69</v>
      </c>
      <c r="G26" s="450">
        <v>34049.74</v>
      </c>
      <c r="H26" s="450">
        <v>31696.95</v>
      </c>
      <c r="I26" s="450">
        <v>46546.81</v>
      </c>
      <c r="J26" s="450">
        <v>30108.29</v>
      </c>
      <c r="K26" s="450"/>
      <c r="L26" s="450"/>
      <c r="M26" s="551"/>
      <c r="N26" s="554">
        <f t="shared" si="0"/>
        <v>300149.70999999996</v>
      </c>
      <c r="O26" s="388">
        <f>SUM('R 2016'!B26:J26)</f>
        <v>300390.98000000004</v>
      </c>
      <c r="P26" s="638">
        <f t="shared" si="1"/>
        <v>-8.0318656705358205E-4</v>
      </c>
      <c r="Q26" s="623">
        <f t="shared" si="2"/>
        <v>7.6889109616905052E-3</v>
      </c>
    </row>
    <row r="27" spans="1:19">
      <c r="A27" s="37" t="s">
        <v>391</v>
      </c>
      <c r="B27" s="450">
        <v>569332.30000000005</v>
      </c>
      <c r="C27" s="450">
        <v>797780.46</v>
      </c>
      <c r="D27" s="450">
        <v>521905.3</v>
      </c>
      <c r="E27" s="450">
        <v>615968.31000000006</v>
      </c>
      <c r="F27" s="450">
        <v>744889.68</v>
      </c>
      <c r="G27" s="450">
        <v>598840.02</v>
      </c>
      <c r="H27" s="450">
        <v>582687.96</v>
      </c>
      <c r="I27" s="450">
        <v>835328.36</v>
      </c>
      <c r="J27" s="450">
        <v>591752.31000000006</v>
      </c>
      <c r="K27" s="450"/>
      <c r="L27" s="450"/>
      <c r="M27" s="551"/>
      <c r="N27" s="554">
        <f t="shared" si="0"/>
        <v>5858484.7000000011</v>
      </c>
      <c r="O27" s="388">
        <f>SUM('R 2016'!B27:J27)</f>
        <v>5497602.71</v>
      </c>
      <c r="P27" s="638">
        <f t="shared" si="1"/>
        <v>6.5643519373192571E-2</v>
      </c>
      <c r="Q27" s="623">
        <f t="shared" si="2"/>
        <v>0.15007633100403836</v>
      </c>
    </row>
    <row r="28" spans="1:19">
      <c r="A28" s="37" t="s">
        <v>392</v>
      </c>
      <c r="B28" s="450">
        <v>31955.98</v>
      </c>
      <c r="C28" s="450">
        <v>47162.21</v>
      </c>
      <c r="D28" s="450">
        <v>47439.46</v>
      </c>
      <c r="E28" s="450">
        <v>47760.87</v>
      </c>
      <c r="F28" s="450">
        <v>47173.14</v>
      </c>
      <c r="G28" s="450">
        <v>33360.49</v>
      </c>
      <c r="H28" s="450">
        <v>41161.43</v>
      </c>
      <c r="I28" s="450">
        <v>64657.8</v>
      </c>
      <c r="J28" s="450">
        <v>69401.47</v>
      </c>
      <c r="K28" s="450"/>
      <c r="L28" s="450"/>
      <c r="M28" s="551"/>
      <c r="N28" s="555">
        <f t="shared" si="0"/>
        <v>430072.85</v>
      </c>
      <c r="O28" s="388">
        <f>SUM('R 2016'!B28:J28)</f>
        <v>386479.18</v>
      </c>
      <c r="P28" s="638">
        <f t="shared" si="1"/>
        <v>0.1127969429038842</v>
      </c>
      <c r="Q28" s="623">
        <f t="shared" si="2"/>
        <v>1.1017141581414409E-2</v>
      </c>
    </row>
    <row r="29" spans="1:19">
      <c r="A29" s="37" t="s">
        <v>393</v>
      </c>
      <c r="B29" s="450">
        <v>219587.32</v>
      </c>
      <c r="C29" s="450">
        <v>265180.92</v>
      </c>
      <c r="D29" s="450">
        <v>194824.12</v>
      </c>
      <c r="E29" s="450">
        <v>233927.84</v>
      </c>
      <c r="F29" s="450">
        <v>319908.11</v>
      </c>
      <c r="G29" s="450">
        <v>217563.72</v>
      </c>
      <c r="H29" s="450">
        <v>229162.86</v>
      </c>
      <c r="I29" s="450">
        <v>345030.33</v>
      </c>
      <c r="J29" s="450">
        <v>242324.09</v>
      </c>
      <c r="K29" s="450"/>
      <c r="L29" s="450"/>
      <c r="M29" s="551"/>
      <c r="N29" s="555">
        <f t="shared" si="0"/>
        <v>2267509.31</v>
      </c>
      <c r="O29" s="388">
        <f>SUM('R 2016'!B29:J29)</f>
        <v>2110109.56</v>
      </c>
      <c r="P29" s="638">
        <f t="shared" si="1"/>
        <v>7.4593164726479921E-2</v>
      </c>
      <c r="Q29" s="623">
        <f t="shared" si="2"/>
        <v>5.8086603479957637E-2</v>
      </c>
    </row>
    <row r="30" spans="1:19">
      <c r="A30" s="37" t="s">
        <v>394</v>
      </c>
      <c r="B30" s="449">
        <v>1044.96</v>
      </c>
      <c r="C30" s="449">
        <v>4601.3500000000004</v>
      </c>
      <c r="D30" s="449">
        <v>1460.98</v>
      </c>
      <c r="E30" s="449">
        <v>3866.21</v>
      </c>
      <c r="F30" s="449">
        <v>3944.22</v>
      </c>
      <c r="G30" s="449">
        <v>6545.17</v>
      </c>
      <c r="H30" s="449">
        <v>6932.03</v>
      </c>
      <c r="I30" s="449">
        <v>9692.11</v>
      </c>
      <c r="J30" s="449">
        <v>8558.7900000000009</v>
      </c>
      <c r="K30" s="449"/>
      <c r="L30" s="449"/>
      <c r="M30" s="550"/>
      <c r="N30" s="554">
        <f t="shared" si="0"/>
        <v>46645.82</v>
      </c>
      <c r="O30" s="388">
        <f>SUM('R 2016'!B30:J30)</f>
        <v>42897.880000000005</v>
      </c>
      <c r="P30" s="638">
        <f t="shared" si="1"/>
        <v>8.7368886294614034E-2</v>
      </c>
      <c r="Q30" s="623">
        <f t="shared" si="2"/>
        <v>1.1949222163667665E-3</v>
      </c>
    </row>
    <row r="31" spans="1:19" ht="11" thickBot="1">
      <c r="A31" s="38" t="s">
        <v>395</v>
      </c>
      <c r="B31" s="449">
        <v>240043.9</v>
      </c>
      <c r="C31" s="449">
        <v>347435.5</v>
      </c>
      <c r="D31" s="449">
        <v>228756.87</v>
      </c>
      <c r="E31" s="449">
        <v>274192.34999999998</v>
      </c>
      <c r="F31" s="449">
        <v>364083.65</v>
      </c>
      <c r="G31" s="449">
        <v>239656.48</v>
      </c>
      <c r="H31" s="449">
        <v>260048.77</v>
      </c>
      <c r="I31" s="449">
        <v>370749.39</v>
      </c>
      <c r="J31" s="449">
        <v>253869.63</v>
      </c>
      <c r="K31" s="449"/>
      <c r="L31" s="449"/>
      <c r="M31" s="550"/>
      <c r="N31" s="556">
        <f t="shared" si="0"/>
        <v>2578836.54</v>
      </c>
      <c r="O31" s="388">
        <f>SUM('R 2016'!B31:J31)</f>
        <v>2478418.84</v>
      </c>
      <c r="P31" s="646">
        <f t="shared" si="1"/>
        <v>4.0516840164110501E-2</v>
      </c>
      <c r="Q31" s="567">
        <f t="shared" si="2"/>
        <v>6.6061848071797297E-2</v>
      </c>
    </row>
    <row r="32" spans="1:19" ht="12" thickTop="1" thickBot="1">
      <c r="A32" s="137" t="s">
        <v>0</v>
      </c>
      <c r="B32" s="451">
        <f t="shared" ref="B32:O32" si="3">SUM(B4:B31)</f>
        <v>3581880.4099999997</v>
      </c>
      <c r="C32" s="452">
        <f t="shared" si="3"/>
        <v>5076561.21</v>
      </c>
      <c r="D32" s="452">
        <f t="shared" si="3"/>
        <v>3711260.56</v>
      </c>
      <c r="E32" s="452">
        <f t="shared" si="3"/>
        <v>4220545.62</v>
      </c>
      <c r="F32" s="452">
        <f t="shared" si="3"/>
        <v>5294720.2299999995</v>
      </c>
      <c r="G32" s="452">
        <f t="shared" si="3"/>
        <v>3779952.0200000009</v>
      </c>
      <c r="H32" s="452">
        <f t="shared" si="3"/>
        <v>3843567.1899999995</v>
      </c>
      <c r="I32" s="452">
        <f t="shared" si="3"/>
        <v>5551877.0200000005</v>
      </c>
      <c r="J32" s="452">
        <f t="shared" si="3"/>
        <v>3976335.67</v>
      </c>
      <c r="K32" s="452">
        <f t="shared" si="3"/>
        <v>0</v>
      </c>
      <c r="L32" s="452">
        <f t="shared" si="3"/>
        <v>0</v>
      </c>
      <c r="M32" s="552">
        <f t="shared" si="3"/>
        <v>0</v>
      </c>
      <c r="N32" s="557">
        <f>SUM(N4:N31)</f>
        <v>39036699.93</v>
      </c>
      <c r="O32" s="453">
        <f t="shared" si="3"/>
        <v>37082181.841000006</v>
      </c>
      <c r="P32" s="445">
        <f>N32/O32-1</f>
        <v>5.2707742424124904E-2</v>
      </c>
      <c r="Q32" s="625">
        <f t="shared" si="2"/>
        <v>1</v>
      </c>
    </row>
    <row r="33" spans="1:17" ht="13" thickBot="1">
      <c r="A33" s="537" t="s">
        <v>344</v>
      </c>
      <c r="B33" s="538">
        <f>B32/'R 2016'!B32-1</f>
        <v>0.16896722768306027</v>
      </c>
      <c r="C33" s="538">
        <f>C32/'R 2016'!C32-1</f>
        <v>7.0880188283215517E-3</v>
      </c>
      <c r="D33" s="538">
        <f>D32/'R 2016'!D32-1</f>
        <v>3.1277798719083316E-2</v>
      </c>
      <c r="E33" s="538">
        <f>E32/'R 2016'!E32-1</f>
        <v>0.24760146591957222</v>
      </c>
      <c r="F33" s="538">
        <f>F32/'R 2016'!F32-1</f>
        <v>-5.7787544553789094E-2</v>
      </c>
      <c r="G33" s="538">
        <f>G32/'R 2016'!G32-1</f>
        <v>8.4680397704895327E-2</v>
      </c>
      <c r="H33" s="538">
        <f>H32/'R 2016'!H32-1</f>
        <v>5.1963225749222852E-2</v>
      </c>
      <c r="I33" s="538">
        <f>I32/'R 2016'!I32-1</f>
        <v>0.10306041254566622</v>
      </c>
      <c r="J33" s="538">
        <f>J32/'R 2016'!J32-1</f>
        <v>-5.4245528611415961E-2</v>
      </c>
      <c r="K33" s="538">
        <f>K32/'R 2016'!K32-1</f>
        <v>-1</v>
      </c>
      <c r="L33" s="538">
        <f>L32/'R 2016'!L32-1</f>
        <v>-1</v>
      </c>
      <c r="M33" s="538">
        <f>M32/'R 2016'!M32-1</f>
        <v>-1</v>
      </c>
      <c r="N33" s="569"/>
      <c r="O33" s="570"/>
      <c r="P33" s="571"/>
      <c r="Q33" s="571"/>
    </row>
    <row r="34" spans="1:17">
      <c r="N34" s="323"/>
      <c r="O34" s="323"/>
    </row>
    <row r="35" spans="1:17">
      <c r="C35" s="323"/>
      <c r="N35" s="323"/>
    </row>
    <row r="36" spans="1:17">
      <c r="C36" s="400"/>
      <c r="I36" s="401"/>
      <c r="N36" s="323"/>
    </row>
    <row r="37" spans="1:17">
      <c r="I37" s="401"/>
      <c r="N37" s="323"/>
    </row>
    <row r="38" spans="1:17">
      <c r="A38" s="287"/>
      <c r="F38" s="323"/>
      <c r="N38" s="323"/>
    </row>
    <row r="41" spans="1:17">
      <c r="P41" s="73"/>
    </row>
    <row r="42" spans="1:17">
      <c r="P42" s="229"/>
    </row>
    <row r="43" spans="1:17">
      <c r="N43" s="323"/>
      <c r="P43" s="73"/>
    </row>
  </sheetData>
  <mergeCells count="1">
    <mergeCell ref="A1:Q1"/>
  </mergeCells>
  <conditionalFormatting sqref="P4:P32">
    <cfRule type="cellIs" dxfId="9" priority="1" operator="lessThan">
      <formula>0</formula>
    </cfRule>
  </conditionalFormatting>
  <printOptions horizontalCentered="1"/>
  <pageMargins left="0.25" right="0.25" top="0.25" bottom="0.25" header="0" footer="0"/>
  <pageSetup scale="78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8" enableFormatConditionsCalculation="0">
    <tabColor rgb="FFFFFF00"/>
    <pageSetUpPr fitToPage="1"/>
  </sheetPr>
  <dimension ref="A1:S43"/>
  <sheetViews>
    <sheetView workbookViewId="0">
      <pane xSplit="1" ySplit="3" topLeftCell="B4" activePane="bottomRight" state="frozen"/>
      <selection activeCell="H31" sqref="H31"/>
      <selection pane="topRight" activeCell="H31" sqref="H31"/>
      <selection pane="bottomLeft" activeCell="H31" sqref="H31"/>
      <selection pane="bottomRight" activeCell="D45" sqref="D45"/>
    </sheetView>
  </sheetViews>
  <sheetFormatPr baseColWidth="10" defaultColWidth="9.1640625" defaultRowHeight="10" x14ac:dyDescent="0"/>
  <cols>
    <col min="1" max="1" width="15.33203125" style="1" bestFit="1" customWidth="1"/>
    <col min="2" max="5" width="11" style="1" bestFit="1" customWidth="1"/>
    <col min="6" max="6" width="11.5" style="1" bestFit="1" customWidth="1"/>
    <col min="7" max="9" width="11" style="1" bestFit="1" customWidth="1"/>
    <col min="10" max="10" width="10.83203125" style="1" bestFit="1" customWidth="1"/>
    <col min="11" max="11" width="10.5" style="1" bestFit="1" customWidth="1"/>
    <col min="12" max="13" width="9.5" style="1" bestFit="1" customWidth="1"/>
    <col min="14" max="15" width="11.6640625" style="1" bestFit="1" customWidth="1"/>
    <col min="16" max="16" width="10.1640625" style="1" bestFit="1" customWidth="1"/>
    <col min="17" max="18" width="9.1640625" style="1"/>
    <col min="19" max="19" width="10.1640625" style="1" bestFit="1" customWidth="1"/>
    <col min="20" max="16384" width="9.1640625" style="1"/>
  </cols>
  <sheetData>
    <row r="1" spans="1:19" ht="17">
      <c r="A1" s="709" t="s">
        <v>351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</row>
    <row r="2" spans="1:19" ht="11" thickBot="1">
      <c r="B2" s="2"/>
    </row>
    <row r="3" spans="1:19" ht="11" thickBot="1">
      <c r="A3" s="129" t="s">
        <v>42</v>
      </c>
      <c r="B3" s="130" t="s">
        <v>2</v>
      </c>
      <c r="C3" s="131" t="s">
        <v>3</v>
      </c>
      <c r="D3" s="131" t="s">
        <v>4</v>
      </c>
      <c r="E3" s="131" t="s">
        <v>5</v>
      </c>
      <c r="F3" s="131" t="s">
        <v>6</v>
      </c>
      <c r="G3" s="131" t="s">
        <v>7</v>
      </c>
      <c r="H3" s="131" t="s">
        <v>8</v>
      </c>
      <c r="I3" s="131" t="s">
        <v>9</v>
      </c>
      <c r="J3" s="131" t="s">
        <v>10</v>
      </c>
      <c r="K3" s="131" t="s">
        <v>11</v>
      </c>
      <c r="L3" s="131" t="s">
        <v>12</v>
      </c>
      <c r="M3" s="398" t="s">
        <v>13</v>
      </c>
      <c r="N3" s="533" t="s">
        <v>349</v>
      </c>
      <c r="O3" s="443" t="s">
        <v>336</v>
      </c>
      <c r="P3" s="645" t="s">
        <v>16</v>
      </c>
      <c r="Q3" s="626" t="s">
        <v>58</v>
      </c>
    </row>
    <row r="4" spans="1:19">
      <c r="A4" s="37" t="s">
        <v>368</v>
      </c>
      <c r="B4" s="449">
        <v>6698</v>
      </c>
      <c r="C4" s="449">
        <v>11849.19</v>
      </c>
      <c r="D4" s="449">
        <v>5916.35</v>
      </c>
      <c r="E4" s="449">
        <v>5355.9</v>
      </c>
      <c r="F4" s="449">
        <v>13799.93</v>
      </c>
      <c r="G4" s="449">
        <v>5276.27</v>
      </c>
      <c r="H4" s="449">
        <v>6720.78</v>
      </c>
      <c r="I4" s="449">
        <v>14178.79</v>
      </c>
      <c r="J4" s="449">
        <v>10618.74</v>
      </c>
      <c r="K4" s="449">
        <v>7602.83</v>
      </c>
      <c r="L4" s="449">
        <v>14849.76</v>
      </c>
      <c r="M4" s="550">
        <v>6645.36</v>
      </c>
      <c r="N4" s="553">
        <f t="shared" ref="N4:N31" si="0">SUM(B4:M4)</f>
        <v>109511.9</v>
      </c>
      <c r="O4" s="388">
        <f>SUM('R 2015'!B4:M4)</f>
        <v>98438.790000000008</v>
      </c>
      <c r="P4" s="638">
        <f t="shared" ref="P4:P31" si="1">N4/O4-1</f>
        <v>0.11248726238914553</v>
      </c>
      <c r="Q4" s="623">
        <f>N4/$N$32</f>
        <v>2.1966485201902002E-3</v>
      </c>
    </row>
    <row r="5" spans="1:19">
      <c r="A5" s="37" t="s">
        <v>369</v>
      </c>
      <c r="B5" s="449">
        <v>31879</v>
      </c>
      <c r="C5" s="449">
        <v>58287.5</v>
      </c>
      <c r="D5" s="449">
        <v>43142.26</v>
      </c>
      <c r="E5" s="449">
        <v>22797.64</v>
      </c>
      <c r="F5" s="449">
        <v>57023.07</v>
      </c>
      <c r="G5" s="449">
        <v>38876.050000000003</v>
      </c>
      <c r="H5" s="449">
        <v>47084.75</v>
      </c>
      <c r="I5" s="449">
        <v>61880.5</v>
      </c>
      <c r="J5" s="449">
        <v>53528.55</v>
      </c>
      <c r="K5" s="449">
        <v>29046.21</v>
      </c>
      <c r="L5" s="449">
        <v>63218.47</v>
      </c>
      <c r="M5" s="550">
        <v>43432.77</v>
      </c>
      <c r="N5" s="554">
        <f t="shared" si="0"/>
        <v>550196.77</v>
      </c>
      <c r="O5" s="388">
        <f>SUM('R 2015'!B5:M5)</f>
        <v>531789.82999999996</v>
      </c>
      <c r="P5" s="638">
        <f t="shared" si="1"/>
        <v>3.4613185438315153E-2</v>
      </c>
      <c r="Q5" s="623">
        <f t="shared" ref="Q5:Q32" si="2">N5/$N$32</f>
        <v>1.1036142379357204E-2</v>
      </c>
    </row>
    <row r="6" spans="1:19">
      <c r="A6" s="37" t="s">
        <v>370</v>
      </c>
      <c r="B6" s="449">
        <v>93528</v>
      </c>
      <c r="C6" s="449">
        <v>143515.12</v>
      </c>
      <c r="D6" s="449">
        <v>107487.38</v>
      </c>
      <c r="E6" s="449">
        <v>91696.78</v>
      </c>
      <c r="F6" s="449">
        <v>148671.67000000001</v>
      </c>
      <c r="G6" s="449">
        <v>100215.03999999999</v>
      </c>
      <c r="H6" s="449">
        <v>106028.7</v>
      </c>
      <c r="I6" s="449">
        <v>144425.64000000001</v>
      </c>
      <c r="J6" s="449">
        <v>112046.95</v>
      </c>
      <c r="K6" s="449">
        <v>112286.54</v>
      </c>
      <c r="L6" s="449">
        <v>136936.81</v>
      </c>
      <c r="M6" s="550">
        <v>116790.33</v>
      </c>
      <c r="N6" s="554">
        <f t="shared" si="0"/>
        <v>1413628.9600000002</v>
      </c>
      <c r="O6" s="388">
        <f>SUM('R 2015'!B6:M6)</f>
        <v>1381340.37</v>
      </c>
      <c r="P6" s="638">
        <f t="shared" si="1"/>
        <v>2.3374825424091528E-2</v>
      </c>
      <c r="Q6" s="623">
        <f t="shared" si="2"/>
        <v>2.8355329083706998E-2</v>
      </c>
    </row>
    <row r="7" spans="1:19">
      <c r="A7" s="37" t="s">
        <v>371</v>
      </c>
      <c r="B7" s="449">
        <v>12160</v>
      </c>
      <c r="C7" s="449">
        <v>24823.09</v>
      </c>
      <c r="D7" s="449">
        <v>11627.64</v>
      </c>
      <c r="E7" s="449">
        <v>14140.77</v>
      </c>
      <c r="F7" s="449">
        <v>30305.57</v>
      </c>
      <c r="G7" s="449">
        <v>15314.05</v>
      </c>
      <c r="H7" s="449">
        <v>15189.64</v>
      </c>
      <c r="I7" s="449">
        <v>28528.48</v>
      </c>
      <c r="J7" s="449">
        <v>16730.39</v>
      </c>
      <c r="K7" s="449">
        <v>19134.240000000002</v>
      </c>
      <c r="L7" s="449">
        <v>24800.12</v>
      </c>
      <c r="M7" s="550">
        <v>18053.509999999998</v>
      </c>
      <c r="N7" s="554">
        <f t="shared" si="0"/>
        <v>230807.5</v>
      </c>
      <c r="O7" s="388">
        <f>SUM('R 2015'!B7:M7)</f>
        <v>236277.61</v>
      </c>
      <c r="P7" s="638">
        <f t="shared" si="1"/>
        <v>-2.3151199133933931E-2</v>
      </c>
      <c r="Q7" s="623">
        <f t="shared" si="2"/>
        <v>4.6296608252052946E-3</v>
      </c>
    </row>
    <row r="8" spans="1:19">
      <c r="A8" s="37" t="s">
        <v>372</v>
      </c>
      <c r="B8" s="449">
        <v>291</v>
      </c>
      <c r="C8" s="449">
        <v>425.25</v>
      </c>
      <c r="D8" s="449">
        <v>178.7</v>
      </c>
      <c r="E8" s="449">
        <v>344.22</v>
      </c>
      <c r="F8" s="449">
        <v>1104.1600000000001</v>
      </c>
      <c r="G8" s="449">
        <v>1017.41</v>
      </c>
      <c r="H8" s="449">
        <v>2210.0500000000002</v>
      </c>
      <c r="I8" s="449">
        <v>2452.75</v>
      </c>
      <c r="J8" s="449">
        <v>2642.87</v>
      </c>
      <c r="K8" s="449">
        <v>1711.49</v>
      </c>
      <c r="L8" s="449">
        <v>5742.55</v>
      </c>
      <c r="M8" s="550">
        <v>804.79</v>
      </c>
      <c r="N8" s="554">
        <f t="shared" si="0"/>
        <v>18925.240000000002</v>
      </c>
      <c r="O8" s="388">
        <f>SUM('R 2015'!B8:M8)</f>
        <v>21200.1</v>
      </c>
      <c r="P8" s="638">
        <f t="shared" si="1"/>
        <v>-0.10730421082919406</v>
      </c>
      <c r="Q8" s="623">
        <f t="shared" si="2"/>
        <v>3.7961263059306245E-4</v>
      </c>
    </row>
    <row r="9" spans="1:19">
      <c r="A9" s="37" t="s">
        <v>373</v>
      </c>
      <c r="B9" s="449">
        <v>251163</v>
      </c>
      <c r="C9" s="449">
        <v>409831.74</v>
      </c>
      <c r="D9" s="449">
        <v>277542.44</v>
      </c>
      <c r="E9" s="449">
        <v>260865.59</v>
      </c>
      <c r="F9" s="449">
        <v>439003.73</v>
      </c>
      <c r="G9" s="449">
        <v>299984.46999999997</v>
      </c>
      <c r="H9" s="449">
        <v>315976.34999999998</v>
      </c>
      <c r="I9" s="449">
        <v>458974.47</v>
      </c>
      <c r="J9" s="449">
        <v>361342.24</v>
      </c>
      <c r="K9" s="449">
        <v>351956.86</v>
      </c>
      <c r="L9" s="449">
        <v>387699</v>
      </c>
      <c r="M9" s="550">
        <v>338504.76</v>
      </c>
      <c r="N9" s="554">
        <f t="shared" si="0"/>
        <v>4152844.6500000004</v>
      </c>
      <c r="O9" s="388">
        <f>SUM('R 2015'!B9:M9)</f>
        <v>4031831.0500000007</v>
      </c>
      <c r="P9" s="638">
        <f t="shared" si="1"/>
        <v>3.0014551328979788E-2</v>
      </c>
      <c r="Q9" s="623">
        <f t="shared" si="2"/>
        <v>8.3299988905336242E-2</v>
      </c>
    </row>
    <row r="10" spans="1:19">
      <c r="A10" s="37" t="s">
        <v>374</v>
      </c>
      <c r="B10" s="449">
        <v>13571</v>
      </c>
      <c r="C10" s="449">
        <v>17944.060000000001</v>
      </c>
      <c r="D10" s="449">
        <v>8312.2800000000007</v>
      </c>
      <c r="E10" s="449">
        <v>9546.3799999999992</v>
      </c>
      <c r="F10" s="449">
        <v>16714.099999999999</v>
      </c>
      <c r="G10" s="449">
        <v>10016.31</v>
      </c>
      <c r="H10" s="449">
        <v>10074.49</v>
      </c>
      <c r="I10" s="449">
        <v>16227.33</v>
      </c>
      <c r="J10" s="449">
        <v>11125.74</v>
      </c>
      <c r="K10" s="449">
        <v>10736.07</v>
      </c>
      <c r="L10" s="449">
        <v>19348.189999999999</v>
      </c>
      <c r="M10" s="550">
        <v>10172.67</v>
      </c>
      <c r="N10" s="554">
        <f t="shared" si="0"/>
        <v>153788.62000000002</v>
      </c>
      <c r="O10" s="388">
        <f>SUM('R 2015'!B10:M10)</f>
        <v>177390.38999999998</v>
      </c>
      <c r="P10" s="638">
        <f t="shared" si="1"/>
        <v>-0.13304987942131452</v>
      </c>
      <c r="Q10" s="623">
        <f t="shared" si="2"/>
        <v>3.0847747554840444E-3</v>
      </c>
    </row>
    <row r="11" spans="1:19">
      <c r="A11" s="37" t="s">
        <v>375</v>
      </c>
      <c r="B11" s="449">
        <v>2507</v>
      </c>
      <c r="C11" s="449">
        <v>4722.57</v>
      </c>
      <c r="D11" s="449">
        <v>2067.6799999999998</v>
      </c>
      <c r="E11" s="449">
        <v>3091.01</v>
      </c>
      <c r="F11" s="449">
        <v>7704.81</v>
      </c>
      <c r="G11" s="449">
        <v>3418.17</v>
      </c>
      <c r="H11" s="449">
        <v>5522.67</v>
      </c>
      <c r="I11" s="449">
        <v>10100.959999999999</v>
      </c>
      <c r="J11" s="449">
        <v>7219.96</v>
      </c>
      <c r="K11" s="449">
        <v>3204.09</v>
      </c>
      <c r="L11" s="449">
        <v>9129.7000000000007</v>
      </c>
      <c r="M11" s="550">
        <v>4780.91</v>
      </c>
      <c r="N11" s="554">
        <f t="shared" si="0"/>
        <v>63469.53</v>
      </c>
      <c r="O11" s="388">
        <f>SUM('R 2015'!B11:M11)</f>
        <v>63230.58</v>
      </c>
      <c r="P11" s="638">
        <f t="shared" si="1"/>
        <v>3.7790259080336952E-3</v>
      </c>
      <c r="Q11" s="623">
        <f t="shared" si="2"/>
        <v>1.2731059286859923E-3</v>
      </c>
    </row>
    <row r="12" spans="1:19">
      <c r="A12" s="37" t="s">
        <v>376</v>
      </c>
      <c r="B12" s="449">
        <v>5261</v>
      </c>
      <c r="C12" s="449">
        <v>8635.1200000000008</v>
      </c>
      <c r="D12" s="449">
        <v>3063.71</v>
      </c>
      <c r="E12" s="449">
        <v>3241.09</v>
      </c>
      <c r="F12" s="449">
        <v>18218.990000000002</v>
      </c>
      <c r="G12" s="449">
        <v>13985.54</v>
      </c>
      <c r="H12" s="449">
        <v>35217.68</v>
      </c>
      <c r="I12" s="449">
        <v>39297.85</v>
      </c>
      <c r="J12" s="449">
        <v>27612.03</v>
      </c>
      <c r="K12" s="449">
        <v>34287.31</v>
      </c>
      <c r="L12" s="449">
        <v>43026.31</v>
      </c>
      <c r="M12" s="550">
        <v>37927.57</v>
      </c>
      <c r="N12" s="554">
        <f t="shared" si="0"/>
        <v>269774.2</v>
      </c>
      <c r="O12" s="388">
        <f>SUM('R 2015'!B12:M12)</f>
        <v>241686.19</v>
      </c>
      <c r="P12" s="638">
        <f t="shared" si="1"/>
        <v>0.1162168595566011</v>
      </c>
      <c r="Q12" s="623">
        <f t="shared" si="2"/>
        <v>5.4112758267868171E-3</v>
      </c>
    </row>
    <row r="13" spans="1:19">
      <c r="A13" s="37" t="s">
        <v>377</v>
      </c>
      <c r="B13" s="450">
        <v>25965</v>
      </c>
      <c r="C13" s="450">
        <v>23900.93</v>
      </c>
      <c r="D13" s="450">
        <v>11759.9</v>
      </c>
      <c r="E13" s="450">
        <v>18333.53</v>
      </c>
      <c r="F13" s="450">
        <v>61589.05</v>
      </c>
      <c r="G13" s="450">
        <v>50237.34</v>
      </c>
      <c r="H13" s="450">
        <v>64578.42</v>
      </c>
      <c r="I13" s="450">
        <v>59690.03</v>
      </c>
      <c r="J13" s="450">
        <v>55788.4</v>
      </c>
      <c r="K13" s="450">
        <v>46914.67</v>
      </c>
      <c r="L13" s="450">
        <v>65583.259999999995</v>
      </c>
      <c r="M13" s="551">
        <v>53583.76</v>
      </c>
      <c r="N13" s="555">
        <f t="shared" si="0"/>
        <v>537924.28999999992</v>
      </c>
      <c r="O13" s="388">
        <f>SUM('R 2015'!B13:M13)</f>
        <v>501321.77</v>
      </c>
      <c r="P13" s="638">
        <f t="shared" si="1"/>
        <v>7.3012029778798393E-2</v>
      </c>
      <c r="Q13" s="623">
        <f t="shared" si="2"/>
        <v>1.0789974382718811E-2</v>
      </c>
    </row>
    <row r="14" spans="1:19">
      <c r="A14" s="37" t="s">
        <v>378</v>
      </c>
      <c r="B14" s="450">
        <v>40651</v>
      </c>
      <c r="C14" s="450">
        <v>72892.91</v>
      </c>
      <c r="D14" s="450">
        <v>47214.31</v>
      </c>
      <c r="E14" s="450">
        <v>44830.89</v>
      </c>
      <c r="F14" s="450">
        <v>84626.76</v>
      </c>
      <c r="G14" s="450">
        <v>40181.26</v>
      </c>
      <c r="H14" s="450">
        <v>47374.46</v>
      </c>
      <c r="I14" s="450">
        <v>83004.320000000007</v>
      </c>
      <c r="J14" s="450">
        <v>67021.5</v>
      </c>
      <c r="K14" s="450">
        <v>58518.77</v>
      </c>
      <c r="L14" s="450">
        <v>81675.520000000004</v>
      </c>
      <c r="M14" s="551">
        <v>48554.55</v>
      </c>
      <c r="N14" s="555">
        <f t="shared" si="0"/>
        <v>716546.25000000012</v>
      </c>
      <c r="O14" s="388">
        <f>SUM('R 2015'!B14:M14)</f>
        <v>669772.53</v>
      </c>
      <c r="P14" s="638">
        <f t="shared" si="1"/>
        <v>6.9835231970472256E-2</v>
      </c>
      <c r="Q14" s="623">
        <f t="shared" si="2"/>
        <v>1.4372869612437897E-2</v>
      </c>
    </row>
    <row r="15" spans="1:19">
      <c r="A15" s="37" t="s">
        <v>379</v>
      </c>
      <c r="B15" s="450">
        <v>5697</v>
      </c>
      <c r="C15" s="450">
        <v>14743.41</v>
      </c>
      <c r="D15" s="450">
        <v>5376.09</v>
      </c>
      <c r="E15" s="450">
        <v>5869.2</v>
      </c>
      <c r="F15" s="450">
        <v>16681.11</v>
      </c>
      <c r="G15" s="450">
        <v>6031.3</v>
      </c>
      <c r="H15" s="450">
        <v>7182.84</v>
      </c>
      <c r="I15" s="450">
        <v>19556.669999999998</v>
      </c>
      <c r="J15" s="450">
        <v>9160.15</v>
      </c>
      <c r="K15" s="450">
        <v>6316.7</v>
      </c>
      <c r="L15" s="450">
        <v>18032.05</v>
      </c>
      <c r="M15" s="551">
        <v>8890.5300000000007</v>
      </c>
      <c r="N15" s="554">
        <f t="shared" si="0"/>
        <v>123537.04999999999</v>
      </c>
      <c r="O15" s="388">
        <f>SUM('R 2015'!B15:M15)</f>
        <v>118033.48</v>
      </c>
      <c r="P15" s="638">
        <f t="shared" si="1"/>
        <v>4.6627194250309367E-2</v>
      </c>
      <c r="Q15" s="623">
        <f t="shared" si="2"/>
        <v>2.4779725132260768E-3</v>
      </c>
    </row>
    <row r="16" spans="1:19">
      <c r="A16" s="37" t="s">
        <v>380</v>
      </c>
      <c r="B16" s="450">
        <v>6833</v>
      </c>
      <c r="C16" s="450">
        <v>17376.439999999999</v>
      </c>
      <c r="D16" s="450">
        <v>347.661</v>
      </c>
      <c r="E16" s="450">
        <v>8983.2099999999991</v>
      </c>
      <c r="F16" s="450">
        <v>22096.799999999999</v>
      </c>
      <c r="G16" s="450">
        <v>11905.63</v>
      </c>
      <c r="H16" s="450">
        <v>22863.93</v>
      </c>
      <c r="I16" s="450">
        <v>37533.760000000002</v>
      </c>
      <c r="J16" s="450">
        <v>19533.080000000002</v>
      </c>
      <c r="K16" s="450">
        <v>20013.96</v>
      </c>
      <c r="L16" s="450">
        <v>33463.26</v>
      </c>
      <c r="M16" s="551">
        <v>17675.36</v>
      </c>
      <c r="N16" s="555">
        <f t="shared" si="0"/>
        <v>218626.09100000001</v>
      </c>
      <c r="O16" s="388">
        <f>SUM('R 2015'!B16:M16)</f>
        <v>195985.59</v>
      </c>
      <c r="P16" s="638">
        <f t="shared" si="1"/>
        <v>0.11552125337378127</v>
      </c>
      <c r="Q16" s="623">
        <f t="shared" si="2"/>
        <v>4.3853195796084094E-3</v>
      </c>
      <c r="S16" s="323"/>
    </row>
    <row r="17" spans="1:19">
      <c r="A17" s="37" t="s">
        <v>381</v>
      </c>
      <c r="B17" s="450">
        <v>5940</v>
      </c>
      <c r="C17" s="450">
        <v>9924.5499999999993</v>
      </c>
      <c r="D17" s="450">
        <v>6245.53</v>
      </c>
      <c r="E17" s="450">
        <v>8235.35</v>
      </c>
      <c r="F17" s="450">
        <v>12389.07</v>
      </c>
      <c r="G17" s="450">
        <v>5748.05</v>
      </c>
      <c r="H17" s="450">
        <v>7512.58</v>
      </c>
      <c r="I17" s="450">
        <v>14348.67</v>
      </c>
      <c r="J17" s="450">
        <v>8459.7000000000007</v>
      </c>
      <c r="K17" s="450">
        <v>9269.23</v>
      </c>
      <c r="L17" s="450">
        <v>13415.64</v>
      </c>
      <c r="M17" s="551">
        <v>7387.6</v>
      </c>
      <c r="N17" s="555">
        <f t="shared" si="0"/>
        <v>108875.97</v>
      </c>
      <c r="O17" s="388">
        <f>SUM('R 2015'!B17:M17)</f>
        <v>47328.399999999994</v>
      </c>
      <c r="P17" s="638">
        <f>N17/O17-1</f>
        <v>1.3004363130805188</v>
      </c>
      <c r="Q17" s="623">
        <f t="shared" si="2"/>
        <v>2.1838926946274573E-3</v>
      </c>
      <c r="S17" s="323"/>
    </row>
    <row r="18" spans="1:19">
      <c r="A18" s="37" t="s">
        <v>382</v>
      </c>
      <c r="B18" s="450">
        <v>2326</v>
      </c>
      <c r="C18" s="450">
        <v>3171.21</v>
      </c>
      <c r="D18" s="450">
        <v>3761.74</v>
      </c>
      <c r="E18" s="450">
        <v>764.86</v>
      </c>
      <c r="F18" s="450">
        <v>4516.0200000000004</v>
      </c>
      <c r="G18" s="450">
        <v>2816.67</v>
      </c>
      <c r="H18" s="450">
        <v>4913.95</v>
      </c>
      <c r="I18" s="450">
        <v>5908.27</v>
      </c>
      <c r="J18" s="450">
        <v>4555.74</v>
      </c>
      <c r="K18" s="450">
        <v>4466.87</v>
      </c>
      <c r="L18" s="450">
        <v>5878.55</v>
      </c>
      <c r="M18" s="551">
        <v>3251.08</v>
      </c>
      <c r="N18" s="554">
        <f t="shared" si="0"/>
        <v>46330.960000000006</v>
      </c>
      <c r="O18" s="388">
        <f>SUM('R 2015'!B18:M18)</f>
        <v>46196.749999999993</v>
      </c>
      <c r="P18" s="638">
        <f t="shared" si="1"/>
        <v>2.9051827238932848E-3</v>
      </c>
      <c r="Q18" s="623">
        <f t="shared" si="2"/>
        <v>9.2933128475527669E-4</v>
      </c>
      <c r="S18" s="323"/>
    </row>
    <row r="19" spans="1:19">
      <c r="A19" s="37" t="s">
        <v>383</v>
      </c>
      <c r="B19" s="450">
        <v>1905</v>
      </c>
      <c r="C19" s="450">
        <v>3421.12</v>
      </c>
      <c r="D19" s="450">
        <v>409.92</v>
      </c>
      <c r="E19" s="450">
        <v>392.83</v>
      </c>
      <c r="F19" s="450">
        <v>1510.12</v>
      </c>
      <c r="G19" s="450">
        <v>619.87</v>
      </c>
      <c r="H19" s="450">
        <v>2161.79</v>
      </c>
      <c r="I19" s="450">
        <v>8648.15</v>
      </c>
      <c r="J19" s="450">
        <v>7598.56</v>
      </c>
      <c r="K19" s="450">
        <v>8042.73</v>
      </c>
      <c r="L19" s="450">
        <v>17978.740000000002</v>
      </c>
      <c r="M19" s="551">
        <v>725.69</v>
      </c>
      <c r="N19" s="554">
        <f t="shared" si="0"/>
        <v>53414.520000000004</v>
      </c>
      <c r="O19" s="388">
        <f>SUM('R 2015'!B19:M19)</f>
        <v>53616.779999999992</v>
      </c>
      <c r="P19" s="638">
        <f t="shared" si="1"/>
        <v>-3.7723264992784999E-3</v>
      </c>
      <c r="Q19" s="623">
        <f t="shared" si="2"/>
        <v>1.0714171365364849E-3</v>
      </c>
      <c r="S19" s="399"/>
    </row>
    <row r="20" spans="1:19">
      <c r="A20" s="37" t="s">
        <v>384</v>
      </c>
      <c r="B20" s="450">
        <v>1510343</v>
      </c>
      <c r="C20" s="450">
        <v>2368218.1800000002</v>
      </c>
      <c r="D20" s="450">
        <v>1614212.42</v>
      </c>
      <c r="E20" s="450">
        <v>1562967.19</v>
      </c>
      <c r="F20" s="450">
        <v>2527074.02</v>
      </c>
      <c r="G20" s="450">
        <v>1621760.93</v>
      </c>
      <c r="H20" s="450">
        <v>1695354.35</v>
      </c>
      <c r="I20" s="450">
        <v>2138887.73</v>
      </c>
      <c r="J20" s="450">
        <v>1835421.38</v>
      </c>
      <c r="K20" s="450">
        <v>1857499.67</v>
      </c>
      <c r="L20" s="450">
        <v>2109620.59</v>
      </c>
      <c r="M20" s="551">
        <v>1796305.86</v>
      </c>
      <c r="N20" s="554">
        <f t="shared" si="0"/>
        <v>22637665.319999997</v>
      </c>
      <c r="O20" s="388">
        <f>SUM('R 2015'!B20:M20)</f>
        <v>21461486.93</v>
      </c>
      <c r="P20" s="638">
        <f t="shared" si="1"/>
        <v>5.4804142594419902E-2</v>
      </c>
      <c r="Q20" s="623">
        <f t="shared" si="2"/>
        <v>0.45407845198320013</v>
      </c>
    </row>
    <row r="21" spans="1:19">
      <c r="A21" s="37" t="s">
        <v>385</v>
      </c>
      <c r="B21" s="450">
        <v>2883</v>
      </c>
      <c r="C21" s="450">
        <v>8196.75</v>
      </c>
      <c r="D21" s="450">
        <v>2908.37</v>
      </c>
      <c r="E21" s="450">
        <v>2939.11</v>
      </c>
      <c r="F21" s="450">
        <v>8058.87</v>
      </c>
      <c r="G21" s="450">
        <v>5662.38</v>
      </c>
      <c r="H21" s="450">
        <v>11379.09</v>
      </c>
      <c r="I21" s="450">
        <v>17127.240000000002</v>
      </c>
      <c r="J21" s="450">
        <v>30355.74</v>
      </c>
      <c r="K21" s="450">
        <v>7906.23</v>
      </c>
      <c r="L21" s="450">
        <v>19909.310000000001</v>
      </c>
      <c r="M21" s="551">
        <v>7689.88</v>
      </c>
      <c r="N21" s="555">
        <f t="shared" si="0"/>
        <v>125015.97</v>
      </c>
      <c r="O21" s="388">
        <f>SUM('R 2015'!B21:M21)</f>
        <v>108769.67</v>
      </c>
      <c r="P21" s="638">
        <f t="shared" si="1"/>
        <v>0.1493642483240043</v>
      </c>
      <c r="Q21" s="623">
        <f t="shared" si="2"/>
        <v>2.5076374850645684E-3</v>
      </c>
    </row>
    <row r="22" spans="1:19">
      <c r="A22" s="37" t="s">
        <v>386</v>
      </c>
      <c r="B22" s="450">
        <v>8708</v>
      </c>
      <c r="C22" s="450">
        <v>21825.61</v>
      </c>
      <c r="D22" s="450">
        <v>6621.47</v>
      </c>
      <c r="E22" s="450">
        <v>6740.36</v>
      </c>
      <c r="F22" s="450">
        <v>27983.83</v>
      </c>
      <c r="G22" s="450">
        <v>5375.02</v>
      </c>
      <c r="H22" s="450">
        <v>6487.38</v>
      </c>
      <c r="I22" s="450">
        <v>25100.94</v>
      </c>
      <c r="J22" s="450">
        <v>5457.25</v>
      </c>
      <c r="K22" s="450">
        <v>6987.7</v>
      </c>
      <c r="L22" s="450">
        <v>27268.43</v>
      </c>
      <c r="M22" s="551">
        <v>5962.13</v>
      </c>
      <c r="N22" s="554">
        <f t="shared" si="0"/>
        <v>154518.12000000002</v>
      </c>
      <c r="O22" s="388">
        <f>SUM('R 2015'!B22:M22)</f>
        <v>141888.49</v>
      </c>
      <c r="P22" s="638">
        <f t="shared" si="1"/>
        <v>8.9010955011220583E-2</v>
      </c>
      <c r="Q22" s="623">
        <f t="shared" si="2"/>
        <v>3.0994074583727601E-3</v>
      </c>
    </row>
    <row r="23" spans="1:19">
      <c r="A23" s="37" t="s">
        <v>387</v>
      </c>
      <c r="B23" s="450">
        <v>21620</v>
      </c>
      <c r="C23" s="450">
        <v>24249.01</v>
      </c>
      <c r="D23" s="450">
        <v>19005.57</v>
      </c>
      <c r="E23" s="450">
        <v>17194.38</v>
      </c>
      <c r="F23" s="450">
        <v>28627.46</v>
      </c>
      <c r="G23" s="450">
        <v>17321.52</v>
      </c>
      <c r="H23" s="450">
        <v>18090.830000000002</v>
      </c>
      <c r="I23" s="450">
        <v>32637.97</v>
      </c>
      <c r="J23" s="450">
        <v>20983.37</v>
      </c>
      <c r="K23" s="450">
        <v>24520.53</v>
      </c>
      <c r="L23" s="450">
        <v>33679</v>
      </c>
      <c r="M23" s="551">
        <v>17167.45</v>
      </c>
      <c r="N23" s="554">
        <f t="shared" si="0"/>
        <v>275097.08999999997</v>
      </c>
      <c r="O23" s="388">
        <f>SUM('R 2015'!B23:M23)</f>
        <v>260733.02999999997</v>
      </c>
      <c r="P23" s="638">
        <f t="shared" si="1"/>
        <v>5.509106383644613E-2</v>
      </c>
      <c r="Q23" s="623">
        <f t="shared" si="2"/>
        <v>5.5180452138729246E-3</v>
      </c>
    </row>
    <row r="24" spans="1:19">
      <c r="A24" s="37" t="s">
        <v>388</v>
      </c>
      <c r="B24" s="450">
        <v>111029</v>
      </c>
      <c r="C24" s="450">
        <v>305625.56</v>
      </c>
      <c r="D24" s="450">
        <v>361752.24</v>
      </c>
      <c r="E24" s="450">
        <v>321864.49</v>
      </c>
      <c r="F24" s="450">
        <v>424113.22</v>
      </c>
      <c r="G24" s="450">
        <v>118626.27</v>
      </c>
      <c r="H24" s="450">
        <v>107896.53</v>
      </c>
      <c r="I24" s="450">
        <v>214093.98</v>
      </c>
      <c r="J24" s="450">
        <v>222441.21</v>
      </c>
      <c r="K24" s="450">
        <v>241200.8</v>
      </c>
      <c r="L24" s="450">
        <v>216465.6</v>
      </c>
      <c r="M24" s="551">
        <v>123284.02</v>
      </c>
      <c r="N24" s="555">
        <f t="shared" si="0"/>
        <v>2768392.92</v>
      </c>
      <c r="O24" s="388">
        <f>SUM('R 2015'!B24:M24)</f>
        <v>2529791.4</v>
      </c>
      <c r="P24" s="638">
        <f t="shared" si="1"/>
        <v>9.4316677651762104E-2</v>
      </c>
      <c r="Q24" s="623">
        <f t="shared" si="2"/>
        <v>5.552991237502982E-2</v>
      </c>
    </row>
    <row r="25" spans="1:19">
      <c r="A25" s="37" t="s">
        <v>389</v>
      </c>
      <c r="B25" s="450">
        <v>31940</v>
      </c>
      <c r="C25" s="450">
        <v>53541.24</v>
      </c>
      <c r="D25" s="450">
        <v>40995.019999999997</v>
      </c>
      <c r="E25" s="450">
        <v>34243.9</v>
      </c>
      <c r="F25" s="450">
        <v>59960.06</v>
      </c>
      <c r="G25" s="450">
        <v>40482.75</v>
      </c>
      <c r="H25" s="450">
        <v>41716.71</v>
      </c>
      <c r="I25" s="450">
        <v>60985.23</v>
      </c>
      <c r="J25" s="450">
        <v>50460.800000000003</v>
      </c>
      <c r="K25" s="450">
        <v>42719.94</v>
      </c>
      <c r="L25" s="450">
        <v>53959.43</v>
      </c>
      <c r="M25" s="551">
        <v>46680.6</v>
      </c>
      <c r="N25" s="554">
        <f t="shared" si="0"/>
        <v>557685.67999999993</v>
      </c>
      <c r="O25" s="388">
        <f>SUM('R 2015'!B25:M25)</f>
        <v>535276.73</v>
      </c>
      <c r="P25" s="638">
        <f t="shared" si="1"/>
        <v>4.1864233477887147E-2</v>
      </c>
      <c r="Q25" s="623">
        <f t="shared" si="2"/>
        <v>1.1186358959193161E-2</v>
      </c>
    </row>
    <row r="26" spans="1:19">
      <c r="A26" s="37" t="s">
        <v>390</v>
      </c>
      <c r="B26" s="450">
        <v>26368</v>
      </c>
      <c r="C26" s="450">
        <v>46784.12</v>
      </c>
      <c r="D26" s="450">
        <v>25460.21</v>
      </c>
      <c r="E26" s="450">
        <v>22266.3</v>
      </c>
      <c r="F26" s="450">
        <v>46676.46</v>
      </c>
      <c r="G26" s="450">
        <v>24115.279999999999</v>
      </c>
      <c r="H26" s="450">
        <v>28512.94</v>
      </c>
      <c r="I26" s="450">
        <v>47840.21</v>
      </c>
      <c r="J26" s="450">
        <v>32367.46</v>
      </c>
      <c r="K26" s="450">
        <v>31691.119999999999</v>
      </c>
      <c r="L26" s="450">
        <v>39138.01</v>
      </c>
      <c r="M26" s="551">
        <v>29074.11</v>
      </c>
      <c r="N26" s="554">
        <f t="shared" si="0"/>
        <v>400294.22000000003</v>
      </c>
      <c r="O26" s="388">
        <f>SUM('R 2015'!B26:M26)</f>
        <v>448761.36</v>
      </c>
      <c r="P26" s="638">
        <f t="shared" si="1"/>
        <v>-0.10800203475629</v>
      </c>
      <c r="Q26" s="623">
        <f t="shared" si="2"/>
        <v>8.0293165035369724E-3</v>
      </c>
    </row>
    <row r="27" spans="1:19">
      <c r="A27" s="37" t="s">
        <v>391</v>
      </c>
      <c r="B27" s="450">
        <v>459303</v>
      </c>
      <c r="C27" s="450">
        <v>715207.47</v>
      </c>
      <c r="D27" s="450">
        <v>526885.69999999995</v>
      </c>
      <c r="E27" s="450">
        <v>496598.08</v>
      </c>
      <c r="F27" s="450">
        <v>785684.2</v>
      </c>
      <c r="G27" s="450">
        <v>561881.18000000005</v>
      </c>
      <c r="H27" s="450">
        <v>546319.74</v>
      </c>
      <c r="I27" s="450">
        <v>755933.38</v>
      </c>
      <c r="J27" s="450">
        <v>649789.96</v>
      </c>
      <c r="K27" s="450">
        <v>616708.63</v>
      </c>
      <c r="L27" s="450">
        <v>686945.95</v>
      </c>
      <c r="M27" s="551">
        <v>615868.92000000004</v>
      </c>
      <c r="N27" s="554">
        <f t="shared" si="0"/>
        <v>7417126.21</v>
      </c>
      <c r="O27" s="388">
        <f>SUM('R 2015'!B27:M27)</f>
        <v>6958395.9499999993</v>
      </c>
      <c r="P27" s="638">
        <f t="shared" si="1"/>
        <v>6.5924713582876882E-2</v>
      </c>
      <c r="Q27" s="623">
        <f t="shared" si="2"/>
        <v>0.14877670201375787</v>
      </c>
    </row>
    <row r="28" spans="1:19">
      <c r="A28" s="37" t="s">
        <v>392</v>
      </c>
      <c r="B28" s="450">
        <v>23440</v>
      </c>
      <c r="C28" s="450">
        <v>45707.39</v>
      </c>
      <c r="D28" s="450">
        <v>60538.27</v>
      </c>
      <c r="E28" s="450">
        <v>21442.15</v>
      </c>
      <c r="F28" s="450">
        <v>53260.24</v>
      </c>
      <c r="G28" s="450">
        <v>34403.97</v>
      </c>
      <c r="H28" s="450">
        <v>31008.37</v>
      </c>
      <c r="I28" s="450">
        <v>61101.3</v>
      </c>
      <c r="J28" s="450">
        <v>55577.49</v>
      </c>
      <c r="K28" s="450">
        <v>50081.599999999999</v>
      </c>
      <c r="L28" s="450">
        <v>77664.160000000003</v>
      </c>
      <c r="M28" s="551">
        <v>32718.959999999999</v>
      </c>
      <c r="N28" s="555">
        <f t="shared" si="0"/>
        <v>546943.89999999991</v>
      </c>
      <c r="O28" s="388">
        <f>SUM('R 2015'!B28:M28)</f>
        <v>524822.06499999994</v>
      </c>
      <c r="P28" s="638">
        <f t="shared" si="1"/>
        <v>4.2151114587760219E-2</v>
      </c>
      <c r="Q28" s="623">
        <f t="shared" si="2"/>
        <v>1.0970894565449571E-2</v>
      </c>
    </row>
    <row r="29" spans="1:19">
      <c r="A29" s="37" t="s">
        <v>393</v>
      </c>
      <c r="B29" s="450">
        <v>157758</v>
      </c>
      <c r="C29" s="450">
        <v>267771.09999999998</v>
      </c>
      <c r="D29" s="450">
        <v>175484.45</v>
      </c>
      <c r="E29" s="450">
        <v>176722.7</v>
      </c>
      <c r="F29" s="450">
        <v>342208.42</v>
      </c>
      <c r="G29" s="450">
        <v>205969.45</v>
      </c>
      <c r="H29" s="450">
        <v>225183.99</v>
      </c>
      <c r="I29" s="450">
        <v>301505.23</v>
      </c>
      <c r="J29" s="450">
        <v>257506.22</v>
      </c>
      <c r="K29" s="450">
        <v>196255.49</v>
      </c>
      <c r="L29" s="450">
        <v>290519.95</v>
      </c>
      <c r="M29" s="551">
        <v>218923.75</v>
      </c>
      <c r="N29" s="555">
        <f t="shared" si="0"/>
        <v>2815808.75</v>
      </c>
      <c r="O29" s="388">
        <f>SUM('R 2015'!B29:M29)</f>
        <v>2678475.3099999996</v>
      </c>
      <c r="P29" s="638">
        <f t="shared" si="1"/>
        <v>5.1272990827009091E-2</v>
      </c>
      <c r="Q29" s="623">
        <f t="shared" si="2"/>
        <v>5.6481004565039218E-2</v>
      </c>
    </row>
    <row r="30" spans="1:19">
      <c r="A30" s="37" t="s">
        <v>394</v>
      </c>
      <c r="B30" s="449">
        <v>3178</v>
      </c>
      <c r="C30" s="449">
        <v>3331.86</v>
      </c>
      <c r="D30" s="449">
        <v>427.6</v>
      </c>
      <c r="E30" s="449">
        <v>946.01</v>
      </c>
      <c r="F30" s="449">
        <v>4224.38</v>
      </c>
      <c r="G30" s="449">
        <v>3543.34</v>
      </c>
      <c r="H30" s="449">
        <v>10303.76</v>
      </c>
      <c r="I30" s="449">
        <v>8182</v>
      </c>
      <c r="J30" s="449">
        <v>8760.93</v>
      </c>
      <c r="K30" s="449">
        <v>5195.3100000000004</v>
      </c>
      <c r="L30" s="449">
        <v>15557.24</v>
      </c>
      <c r="M30" s="550">
        <v>9364.39</v>
      </c>
      <c r="N30" s="554">
        <f t="shared" si="0"/>
        <v>73014.820000000007</v>
      </c>
      <c r="O30" s="388">
        <f>SUM('R 2015'!B30:M30)</f>
        <v>68886.849999999991</v>
      </c>
      <c r="P30" s="638">
        <f t="shared" si="1"/>
        <v>5.9923918715981683E-2</v>
      </c>
      <c r="Q30" s="623">
        <f t="shared" si="2"/>
        <v>1.464570483252997E-3</v>
      </c>
    </row>
    <row r="31" spans="1:19" ht="11" thickBot="1">
      <c r="A31" s="38" t="s">
        <v>395</v>
      </c>
      <c r="B31" s="449">
        <v>201196</v>
      </c>
      <c r="C31" s="449">
        <v>354909.2</v>
      </c>
      <c r="D31" s="449">
        <v>229956.2</v>
      </c>
      <c r="E31" s="449">
        <v>220513.83</v>
      </c>
      <c r="F31" s="449">
        <v>375628.6</v>
      </c>
      <c r="G31" s="449">
        <v>240067.74</v>
      </c>
      <c r="H31" s="449">
        <v>230841.93</v>
      </c>
      <c r="I31" s="449">
        <v>365005.86</v>
      </c>
      <c r="J31" s="449">
        <v>260299.48</v>
      </c>
      <c r="K31" s="449">
        <v>254710.87</v>
      </c>
      <c r="L31" s="449">
        <v>325295.93</v>
      </c>
      <c r="M31" s="550">
        <v>255892.93</v>
      </c>
      <c r="N31" s="556">
        <f t="shared" si="0"/>
        <v>3314318.5700000003</v>
      </c>
      <c r="O31" s="388">
        <f>SUM('R 2015'!B31:M31)</f>
        <v>3169890.3899999997</v>
      </c>
      <c r="P31" s="646">
        <f t="shared" si="1"/>
        <v>4.5562515491269329E-2</v>
      </c>
      <c r="Q31" s="567">
        <f t="shared" si="2"/>
        <v>6.6480382334973664E-2</v>
      </c>
    </row>
    <row r="32" spans="1:19" ht="12" thickTop="1" thickBot="1">
      <c r="A32" s="137" t="s">
        <v>0</v>
      </c>
      <c r="B32" s="451">
        <f t="shared" ref="B32:O32" si="3">SUM(B4:B31)</f>
        <v>3064141</v>
      </c>
      <c r="C32" s="452">
        <f t="shared" si="3"/>
        <v>5040831.7</v>
      </c>
      <c r="D32" s="452">
        <f t="shared" si="3"/>
        <v>3598701.1110000005</v>
      </c>
      <c r="E32" s="452">
        <f t="shared" si="3"/>
        <v>3382927.75</v>
      </c>
      <c r="F32" s="452">
        <f t="shared" si="3"/>
        <v>5619454.7199999997</v>
      </c>
      <c r="G32" s="452">
        <f t="shared" si="3"/>
        <v>3484853.26</v>
      </c>
      <c r="H32" s="452">
        <f t="shared" si="3"/>
        <v>3653708.6999999997</v>
      </c>
      <c r="I32" s="452">
        <f t="shared" si="3"/>
        <v>5033157.71</v>
      </c>
      <c r="J32" s="452">
        <f t="shared" si="3"/>
        <v>4204405.8900000006</v>
      </c>
      <c r="K32" s="452">
        <f t="shared" si="3"/>
        <v>4058986.4599999995</v>
      </c>
      <c r="L32" s="452">
        <f t="shared" si="3"/>
        <v>4836801.53</v>
      </c>
      <c r="M32" s="552">
        <f t="shared" si="3"/>
        <v>3876114.24</v>
      </c>
      <c r="N32" s="557">
        <f>SUM(N4:N31)</f>
        <v>49854084.071000002</v>
      </c>
      <c r="O32" s="453">
        <f t="shared" si="3"/>
        <v>47302618.384999998</v>
      </c>
      <c r="P32" s="445">
        <f>N32/O32-1</f>
        <v>5.3939206181641053E-2</v>
      </c>
      <c r="Q32" s="625">
        <f t="shared" si="2"/>
        <v>1</v>
      </c>
    </row>
    <row r="33" spans="1:17" ht="13" thickBot="1">
      <c r="A33" s="537" t="s">
        <v>344</v>
      </c>
      <c r="B33" s="538">
        <f>B32/'R 2015'!B32-1</f>
        <v>2.1946857408945419E-3</v>
      </c>
      <c r="C33" s="538">
        <f>C32/'R 2015'!C32-1</f>
        <v>4.2268084320992383E-2</v>
      </c>
      <c r="D33" s="538">
        <f>D32/'R 2015'!D32-1</f>
        <v>4.5585491448926652E-2</v>
      </c>
      <c r="E33" s="538">
        <f>E32/'R 2015'!E32-1</f>
        <v>8.6627003152374593E-2</v>
      </c>
      <c r="F33" s="538">
        <f>F32/'R 2015'!F32-1</f>
        <v>0.11870496785533269</v>
      </c>
      <c r="G33" s="538">
        <f>G32/'R 2015'!G32-1</f>
        <v>-2.5279946562170363E-2</v>
      </c>
      <c r="H33" s="538">
        <f>H32/'R 2015'!H32-1</f>
        <v>8.434165089588963E-2</v>
      </c>
      <c r="I33" s="538">
        <f>I32/'R 2015'!I32-1</f>
        <v>2.1806755850730664E-2</v>
      </c>
      <c r="J33" s="538">
        <f>J32/'R 2015'!J32-1</f>
        <v>0.13311279420270061</v>
      </c>
      <c r="K33" s="538">
        <f>K32/'R 2015'!K32-1</f>
        <v>8.9347854967483986E-2</v>
      </c>
      <c r="L33" s="538">
        <f>L32/'R 2015'!L32-1</f>
        <v>-1.0400220229256019E-2</v>
      </c>
      <c r="M33" s="538">
        <f>M32/'R 2015'!M32-1</f>
        <v>6.6076550728799033E-2</v>
      </c>
      <c r="N33" s="569"/>
      <c r="O33" s="570"/>
      <c r="P33" s="571"/>
      <c r="Q33" s="571"/>
    </row>
    <row r="34" spans="1:17">
      <c r="N34" s="323"/>
      <c r="O34" s="323"/>
    </row>
    <row r="35" spans="1:17">
      <c r="C35" s="323"/>
      <c r="N35" s="323"/>
    </row>
    <row r="36" spans="1:17">
      <c r="C36" s="400"/>
      <c r="I36" s="401"/>
      <c r="N36" s="323"/>
    </row>
    <row r="37" spans="1:17">
      <c r="I37" s="401"/>
      <c r="N37" s="323"/>
    </row>
    <row r="38" spans="1:17">
      <c r="A38" s="287"/>
      <c r="F38" s="323"/>
      <c r="N38" s="323"/>
    </row>
    <row r="41" spans="1:17">
      <c r="P41" s="73"/>
    </row>
    <row r="42" spans="1:17">
      <c r="P42" s="229"/>
    </row>
    <row r="43" spans="1:17">
      <c r="N43" s="323"/>
      <c r="P43" s="73"/>
    </row>
  </sheetData>
  <mergeCells count="1">
    <mergeCell ref="A1:Q1"/>
  </mergeCells>
  <conditionalFormatting sqref="P4:P32">
    <cfRule type="cellIs" dxfId="8" priority="1" operator="lessThan">
      <formula>0</formula>
    </cfRule>
  </conditionalFormatting>
  <printOptions horizontalCentered="1"/>
  <pageMargins left="0.25" right="0.25" top="0.25" bottom="0.25" header="0" footer="0"/>
  <pageSetup scale="78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 enableFormatConditionsCalculation="0">
    <tabColor rgb="FFFFFF00"/>
    <pageSetUpPr fitToPage="1"/>
  </sheetPr>
  <dimension ref="A1:S43"/>
  <sheetViews>
    <sheetView workbookViewId="0">
      <pane xSplit="1" ySplit="3" topLeftCell="B13" activePane="bottomRight" state="frozen"/>
      <selection activeCell="H31" sqref="H31"/>
      <selection pane="topRight" activeCell="H31" sqref="H31"/>
      <selection pane="bottomLeft" activeCell="H31" sqref="H31"/>
      <selection pane="bottomRight" sqref="A1:Q1"/>
    </sheetView>
  </sheetViews>
  <sheetFormatPr baseColWidth="10" defaultColWidth="9.1640625" defaultRowHeight="10" x14ac:dyDescent="0"/>
  <cols>
    <col min="1" max="1" width="12.33203125" style="1" bestFit="1" customWidth="1"/>
    <col min="2" max="5" width="11" style="1" bestFit="1" customWidth="1"/>
    <col min="6" max="6" width="11.5" style="1" bestFit="1" customWidth="1"/>
    <col min="7" max="9" width="11" style="1" bestFit="1" customWidth="1"/>
    <col min="10" max="10" width="10.83203125" style="1" bestFit="1" customWidth="1"/>
    <col min="11" max="11" width="10.5" style="1" bestFit="1" customWidth="1"/>
    <col min="12" max="13" width="9.5" style="1" bestFit="1" customWidth="1"/>
    <col min="14" max="15" width="11.6640625" style="1" bestFit="1" customWidth="1"/>
    <col min="16" max="16" width="10.1640625" style="1" bestFit="1" customWidth="1"/>
    <col min="17" max="18" width="9.1640625" style="1"/>
    <col min="19" max="19" width="10.1640625" style="1" bestFit="1" customWidth="1"/>
    <col min="20" max="16384" width="9.1640625" style="1"/>
  </cols>
  <sheetData>
    <row r="1" spans="1:19" ht="17">
      <c r="A1" s="709" t="s">
        <v>341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</row>
    <row r="2" spans="1:19" ht="11" thickBot="1">
      <c r="B2" s="2"/>
    </row>
    <row r="3" spans="1:19" ht="11" thickBot="1">
      <c r="A3" s="129" t="s">
        <v>42</v>
      </c>
      <c r="B3" s="130" t="s">
        <v>2</v>
      </c>
      <c r="C3" s="131" t="s">
        <v>3</v>
      </c>
      <c r="D3" s="131" t="s">
        <v>4</v>
      </c>
      <c r="E3" s="131" t="s">
        <v>5</v>
      </c>
      <c r="F3" s="131" t="s">
        <v>6</v>
      </c>
      <c r="G3" s="131" t="s">
        <v>7</v>
      </c>
      <c r="H3" s="131" t="s">
        <v>8</v>
      </c>
      <c r="I3" s="131" t="s">
        <v>9</v>
      </c>
      <c r="J3" s="131" t="s">
        <v>10</v>
      </c>
      <c r="K3" s="131" t="s">
        <v>11</v>
      </c>
      <c r="L3" s="131" t="s">
        <v>12</v>
      </c>
      <c r="M3" s="398" t="s">
        <v>13</v>
      </c>
      <c r="N3" s="533" t="s">
        <v>336</v>
      </c>
      <c r="O3" s="443" t="s">
        <v>147</v>
      </c>
      <c r="P3" s="645" t="s">
        <v>16</v>
      </c>
      <c r="Q3" s="626" t="s">
        <v>58</v>
      </c>
    </row>
    <row r="4" spans="1:19">
      <c r="A4" s="37" t="s">
        <v>17</v>
      </c>
      <c r="B4" s="449">
        <v>5705.86</v>
      </c>
      <c r="C4" s="449">
        <v>10644.53</v>
      </c>
      <c r="D4" s="449">
        <v>5377.87</v>
      </c>
      <c r="E4" s="449">
        <v>4400.92</v>
      </c>
      <c r="F4" s="449">
        <v>11899.31</v>
      </c>
      <c r="G4" s="449">
        <v>5562.89</v>
      </c>
      <c r="H4" s="449">
        <v>5542.1</v>
      </c>
      <c r="I4" s="449">
        <v>14675.64</v>
      </c>
      <c r="J4" s="449">
        <v>8639.6299999999992</v>
      </c>
      <c r="K4" s="449">
        <v>6723.63</v>
      </c>
      <c r="L4" s="449">
        <v>12686.05</v>
      </c>
      <c r="M4" s="550">
        <v>6580.36</v>
      </c>
      <c r="N4" s="553">
        <f t="shared" ref="N4:N31" si="0">SUM(B4:M4)</f>
        <v>98438.790000000008</v>
      </c>
      <c r="O4" s="388">
        <f>SUM('R 2014'!B4:M4)</f>
        <v>95796.819999999992</v>
      </c>
      <c r="P4" s="604">
        <f t="shared" ref="P4:P31" si="1">N4/O4-1</f>
        <v>2.7578890405756784E-2</v>
      </c>
      <c r="Q4" s="623">
        <f>N4/$N$32</f>
        <v>2.0810431506940777E-3</v>
      </c>
    </row>
    <row r="5" spans="1:19">
      <c r="A5" s="37" t="s">
        <v>18</v>
      </c>
      <c r="B5" s="449">
        <v>30026.41</v>
      </c>
      <c r="C5" s="449">
        <v>54636.07</v>
      </c>
      <c r="D5" s="449">
        <v>32666.12</v>
      </c>
      <c r="E5" s="449">
        <v>33872.959999999999</v>
      </c>
      <c r="F5" s="449">
        <v>56016.83</v>
      </c>
      <c r="G5" s="449">
        <v>45584.61</v>
      </c>
      <c r="H5" s="449">
        <v>37258.69</v>
      </c>
      <c r="I5" s="449">
        <v>62866.63</v>
      </c>
      <c r="J5" s="449">
        <v>40127.519999999997</v>
      </c>
      <c r="K5" s="449">
        <v>42123.03</v>
      </c>
      <c r="L5" s="449">
        <v>59157.98</v>
      </c>
      <c r="M5" s="550">
        <v>37452.980000000003</v>
      </c>
      <c r="N5" s="554">
        <f t="shared" si="0"/>
        <v>531789.82999999996</v>
      </c>
      <c r="O5" s="388">
        <f>SUM('R 2014'!B5:M5)</f>
        <v>464591.71</v>
      </c>
      <c r="P5" s="604">
        <f t="shared" si="1"/>
        <v>0.14463908535948677</v>
      </c>
      <c r="Q5" s="623">
        <f t="shared" ref="Q5:Q32" si="2">N5/$N$32</f>
        <v>1.1242291614212932E-2</v>
      </c>
    </row>
    <row r="6" spans="1:19">
      <c r="A6" s="37" t="s">
        <v>19</v>
      </c>
      <c r="B6" s="449">
        <v>99820.53</v>
      </c>
      <c r="C6" s="449">
        <v>150129.35999999999</v>
      </c>
      <c r="D6" s="449">
        <v>99519.4</v>
      </c>
      <c r="E6" s="449">
        <v>88432.12</v>
      </c>
      <c r="F6" s="449">
        <v>133627.1</v>
      </c>
      <c r="G6" s="449">
        <v>105861.1</v>
      </c>
      <c r="H6" s="449">
        <v>98390.3</v>
      </c>
      <c r="I6" s="449">
        <v>131955.82</v>
      </c>
      <c r="J6" s="449">
        <v>107630.26</v>
      </c>
      <c r="K6" s="449">
        <v>113046.82</v>
      </c>
      <c r="L6" s="449">
        <v>145037.49</v>
      </c>
      <c r="M6" s="550">
        <v>107890.07</v>
      </c>
      <c r="N6" s="554">
        <f t="shared" si="0"/>
        <v>1381340.37</v>
      </c>
      <c r="O6" s="388">
        <f>SUM('R 2014'!B6:M6)</f>
        <v>1221618.7299999997</v>
      </c>
      <c r="P6" s="604">
        <f t="shared" si="1"/>
        <v>0.13074589974565987</v>
      </c>
      <c r="Q6" s="623">
        <f t="shared" si="2"/>
        <v>2.9202196773911213E-2</v>
      </c>
    </row>
    <row r="7" spans="1:19">
      <c r="A7" s="37" t="s">
        <v>20</v>
      </c>
      <c r="B7" s="449">
        <v>13017.56</v>
      </c>
      <c r="C7" s="449">
        <v>28106.2</v>
      </c>
      <c r="D7" s="449">
        <v>16049.19</v>
      </c>
      <c r="E7" s="449">
        <v>12258.27</v>
      </c>
      <c r="F7" s="449">
        <v>25757.32</v>
      </c>
      <c r="G7" s="449">
        <v>19371.71</v>
      </c>
      <c r="H7" s="449">
        <v>16332.86</v>
      </c>
      <c r="I7" s="449">
        <v>30801.23</v>
      </c>
      <c r="J7" s="449">
        <v>15494.21</v>
      </c>
      <c r="K7" s="449">
        <v>15198.03</v>
      </c>
      <c r="L7" s="449">
        <v>28192.13</v>
      </c>
      <c r="M7" s="550">
        <v>15698.9</v>
      </c>
      <c r="N7" s="554">
        <f t="shared" si="0"/>
        <v>236277.61</v>
      </c>
      <c r="O7" s="388">
        <f>SUM('R 2014'!B7:M7)</f>
        <v>224862.38000000003</v>
      </c>
      <c r="P7" s="604">
        <f t="shared" si="1"/>
        <v>5.0765405934064978E-2</v>
      </c>
      <c r="Q7" s="623">
        <f t="shared" si="2"/>
        <v>4.9950217993624917E-3</v>
      </c>
    </row>
    <row r="8" spans="1:19">
      <c r="A8" s="37" t="s">
        <v>21</v>
      </c>
      <c r="B8" s="449">
        <v>328.59</v>
      </c>
      <c r="C8" s="449">
        <v>567.76</v>
      </c>
      <c r="D8" s="449">
        <v>226.71</v>
      </c>
      <c r="E8" s="449">
        <v>655.14</v>
      </c>
      <c r="F8" s="449">
        <v>1025.3499999999999</v>
      </c>
      <c r="G8" s="449">
        <v>1274.6400000000001</v>
      </c>
      <c r="H8" s="449">
        <v>1881.3</v>
      </c>
      <c r="I8" s="449">
        <v>4247.6099999999997</v>
      </c>
      <c r="J8" s="449">
        <v>2890.99</v>
      </c>
      <c r="K8" s="449">
        <v>2178.25</v>
      </c>
      <c r="L8" s="449">
        <v>5064.47</v>
      </c>
      <c r="M8" s="550">
        <v>859.29</v>
      </c>
      <c r="N8" s="554">
        <f t="shared" si="0"/>
        <v>21200.1</v>
      </c>
      <c r="O8" s="388">
        <f>SUM('R 2014'!B8:M8)</f>
        <v>20997.289999999997</v>
      </c>
      <c r="P8" s="604">
        <f t="shared" si="1"/>
        <v>9.6588655012146418E-3</v>
      </c>
      <c r="Q8" s="623">
        <f t="shared" si="2"/>
        <v>4.4818026409131518E-4</v>
      </c>
    </row>
    <row r="9" spans="1:19">
      <c r="A9" s="37" t="s">
        <v>22</v>
      </c>
      <c r="B9" s="449">
        <v>268071.32</v>
      </c>
      <c r="C9" s="449">
        <v>398265.23</v>
      </c>
      <c r="D9" s="449">
        <v>273688.93</v>
      </c>
      <c r="E9" s="449">
        <v>244290.66</v>
      </c>
      <c r="F9" s="449">
        <v>397218.46</v>
      </c>
      <c r="G9" s="449">
        <v>304276.59000000003</v>
      </c>
      <c r="H9" s="449">
        <v>304471.7</v>
      </c>
      <c r="I9" s="449">
        <v>423393.62</v>
      </c>
      <c r="J9" s="449">
        <v>340360.46</v>
      </c>
      <c r="K9" s="449">
        <v>334328.62</v>
      </c>
      <c r="L9" s="449">
        <v>407727.01</v>
      </c>
      <c r="M9" s="550">
        <v>335738.45</v>
      </c>
      <c r="N9" s="554">
        <f t="shared" si="0"/>
        <v>4031831.0500000007</v>
      </c>
      <c r="O9" s="388">
        <f>SUM('R 2014'!B9:M9)</f>
        <v>3594012.3</v>
      </c>
      <c r="P9" s="604">
        <f t="shared" si="1"/>
        <v>0.12181893478773032</v>
      </c>
      <c r="Q9" s="623">
        <f t="shared" si="2"/>
        <v>8.5234838739466551E-2</v>
      </c>
    </row>
    <row r="10" spans="1:19">
      <c r="A10" s="37" t="s">
        <v>23</v>
      </c>
      <c r="B10" s="449">
        <v>16002.22</v>
      </c>
      <c r="C10" s="449">
        <v>22643.35</v>
      </c>
      <c r="D10" s="449">
        <v>8650.16</v>
      </c>
      <c r="E10" s="449">
        <v>12693.07</v>
      </c>
      <c r="F10" s="449">
        <v>17973.75</v>
      </c>
      <c r="G10" s="449">
        <v>11604.87</v>
      </c>
      <c r="H10" s="449">
        <v>10930.15</v>
      </c>
      <c r="I10" s="449">
        <v>16858.650000000001</v>
      </c>
      <c r="J10" s="449">
        <v>15337.43</v>
      </c>
      <c r="K10" s="449">
        <v>16497.09</v>
      </c>
      <c r="L10" s="449">
        <v>17708.7</v>
      </c>
      <c r="M10" s="550">
        <v>10490.95</v>
      </c>
      <c r="N10" s="554">
        <f t="shared" si="0"/>
        <v>177390.38999999998</v>
      </c>
      <c r="O10" s="388">
        <f>SUM('R 2014'!B10:M10)</f>
        <v>186700.79</v>
      </c>
      <c r="P10" s="620">
        <f t="shared" si="1"/>
        <v>-4.9868026803743137E-2</v>
      </c>
      <c r="Q10" s="623">
        <f t="shared" si="2"/>
        <v>3.7501177747964109E-3</v>
      </c>
    </row>
    <row r="11" spans="1:19">
      <c r="A11" s="37" t="s">
        <v>51</v>
      </c>
      <c r="B11" s="449">
        <v>3230.45</v>
      </c>
      <c r="C11" s="449">
        <v>5302.48</v>
      </c>
      <c r="D11" s="449">
        <v>3345.28</v>
      </c>
      <c r="E11" s="449">
        <v>1434.97</v>
      </c>
      <c r="F11" s="449">
        <v>5135.67</v>
      </c>
      <c r="G11" s="449">
        <v>2070.08</v>
      </c>
      <c r="H11" s="449">
        <v>6957.47</v>
      </c>
      <c r="I11" s="449">
        <v>11106.44</v>
      </c>
      <c r="J11" s="449">
        <v>6490.43</v>
      </c>
      <c r="K11" s="449">
        <v>5645.33</v>
      </c>
      <c r="L11" s="449">
        <v>7254.75</v>
      </c>
      <c r="M11" s="550">
        <v>5257.23</v>
      </c>
      <c r="N11" s="554">
        <f t="shared" si="0"/>
        <v>63230.58</v>
      </c>
      <c r="O11" s="388">
        <f>SUM('R 2014'!B11:M11)</f>
        <v>54708.9</v>
      </c>
      <c r="P11" s="604">
        <f t="shared" si="1"/>
        <v>0.15576405301514007</v>
      </c>
      <c r="Q11" s="623">
        <f t="shared" si="2"/>
        <v>1.3367247344610183E-3</v>
      </c>
    </row>
    <row r="12" spans="1:19">
      <c r="A12" s="37" t="s">
        <v>24</v>
      </c>
      <c r="B12" s="449">
        <v>6136.13</v>
      </c>
      <c r="C12" s="449">
        <v>6535.19</v>
      </c>
      <c r="D12" s="449">
        <v>3220.94</v>
      </c>
      <c r="E12" s="449">
        <v>6921.52</v>
      </c>
      <c r="F12" s="449">
        <v>10839.34</v>
      </c>
      <c r="G12" s="449">
        <v>18730.669999999998</v>
      </c>
      <c r="H12" s="449">
        <v>24143.78</v>
      </c>
      <c r="I12" s="449">
        <v>40713.370000000003</v>
      </c>
      <c r="J12" s="449">
        <v>27059.040000000001</v>
      </c>
      <c r="K12" s="449">
        <v>28762.54</v>
      </c>
      <c r="L12" s="449">
        <v>48911.42</v>
      </c>
      <c r="M12" s="550">
        <v>19712.25</v>
      </c>
      <c r="N12" s="554">
        <f t="shared" si="0"/>
        <v>241686.19</v>
      </c>
      <c r="O12" s="388">
        <f>SUM('R 2014'!B12:M12)</f>
        <v>236722.89299999998</v>
      </c>
      <c r="P12" s="604">
        <f t="shared" si="1"/>
        <v>2.0966696279772323E-2</v>
      </c>
      <c r="Q12" s="623">
        <f t="shared" si="2"/>
        <v>5.1093617700588099E-3</v>
      </c>
    </row>
    <row r="13" spans="1:19">
      <c r="A13" s="37" t="s">
        <v>25</v>
      </c>
      <c r="B13" s="450">
        <v>24016.18</v>
      </c>
      <c r="C13" s="450">
        <v>27092.36</v>
      </c>
      <c r="D13" s="450">
        <v>11646.39</v>
      </c>
      <c r="E13" s="450">
        <v>19275.25</v>
      </c>
      <c r="F13" s="450">
        <v>47198.91</v>
      </c>
      <c r="G13" s="450">
        <v>44845.27</v>
      </c>
      <c r="H13" s="450">
        <v>65204.65</v>
      </c>
      <c r="I13" s="450">
        <v>58139.93</v>
      </c>
      <c r="J13" s="450">
        <v>42319.83</v>
      </c>
      <c r="K13" s="450">
        <v>51150.79</v>
      </c>
      <c r="L13" s="450">
        <v>61125.09</v>
      </c>
      <c r="M13" s="551">
        <v>49307.12</v>
      </c>
      <c r="N13" s="555">
        <f t="shared" si="0"/>
        <v>501321.77</v>
      </c>
      <c r="O13" s="388">
        <f>SUM('R 2014'!B13:M13)</f>
        <v>455094.74000000005</v>
      </c>
      <c r="P13" s="604">
        <f t="shared" si="1"/>
        <v>0.10157671785000177</v>
      </c>
      <c r="Q13" s="623">
        <f t="shared" si="2"/>
        <v>1.0598182238448195E-2</v>
      </c>
    </row>
    <row r="14" spans="1:19">
      <c r="A14" s="37" t="s">
        <v>26</v>
      </c>
      <c r="B14" s="450">
        <v>40514.47</v>
      </c>
      <c r="C14" s="450">
        <v>70572.179999999993</v>
      </c>
      <c r="D14" s="450">
        <v>43602.9</v>
      </c>
      <c r="E14" s="450">
        <v>42338.5</v>
      </c>
      <c r="F14" s="450">
        <v>69239.72</v>
      </c>
      <c r="G14" s="450">
        <v>48985.1</v>
      </c>
      <c r="H14" s="450">
        <v>45743.4</v>
      </c>
      <c r="I14" s="450">
        <v>73856.94</v>
      </c>
      <c r="J14" s="450">
        <v>52321.63</v>
      </c>
      <c r="K14" s="450">
        <v>52216.11</v>
      </c>
      <c r="L14" s="450">
        <v>73725.59</v>
      </c>
      <c r="M14" s="551">
        <v>56655.99</v>
      </c>
      <c r="N14" s="555">
        <f t="shared" si="0"/>
        <v>669772.53</v>
      </c>
      <c r="O14" s="388">
        <f>SUM('R 2014'!B14:M14)</f>
        <v>595304.77</v>
      </c>
      <c r="P14" s="604">
        <f t="shared" si="1"/>
        <v>0.12509182481437198</v>
      </c>
      <c r="Q14" s="623">
        <f t="shared" si="2"/>
        <v>1.4159311954967587E-2</v>
      </c>
    </row>
    <row r="15" spans="1:19">
      <c r="A15" s="37" t="s">
        <v>27</v>
      </c>
      <c r="B15" s="450">
        <v>7424.2</v>
      </c>
      <c r="C15" s="450">
        <v>15188.53</v>
      </c>
      <c r="D15" s="450">
        <v>5318.18</v>
      </c>
      <c r="E15" s="450">
        <v>4211.74</v>
      </c>
      <c r="F15" s="450">
        <v>14023.47</v>
      </c>
      <c r="G15" s="450">
        <v>8625.5300000000007</v>
      </c>
      <c r="H15" s="450">
        <v>9193.5300000000007</v>
      </c>
      <c r="I15" s="450">
        <v>17268.189999999999</v>
      </c>
      <c r="J15" s="450">
        <v>5847.61</v>
      </c>
      <c r="K15" s="450">
        <v>6768.64</v>
      </c>
      <c r="L15" s="450">
        <v>17440.57</v>
      </c>
      <c r="M15" s="551">
        <v>6723.29</v>
      </c>
      <c r="N15" s="554">
        <f t="shared" si="0"/>
        <v>118033.48</v>
      </c>
      <c r="O15" s="388">
        <f>SUM('R 2014'!B15:M15)</f>
        <v>99221.97</v>
      </c>
      <c r="P15" s="604">
        <f t="shared" si="1"/>
        <v>0.18959016838710219</v>
      </c>
      <c r="Q15" s="623">
        <f t="shared" si="2"/>
        <v>2.4952842787542024E-3</v>
      </c>
    </row>
    <row r="16" spans="1:19">
      <c r="A16" s="37" t="s">
        <v>28</v>
      </c>
      <c r="B16" s="450">
        <v>8020.4</v>
      </c>
      <c r="C16" s="450">
        <v>10924.62</v>
      </c>
      <c r="D16" s="450">
        <v>5936.28</v>
      </c>
      <c r="E16" s="450">
        <v>8974.9599999999991</v>
      </c>
      <c r="F16" s="450">
        <v>13972.61</v>
      </c>
      <c r="G16" s="450">
        <v>15189.26</v>
      </c>
      <c r="H16" s="450">
        <v>18250.400000000001</v>
      </c>
      <c r="I16" s="450">
        <v>29335.54</v>
      </c>
      <c r="J16" s="450">
        <v>16620.28</v>
      </c>
      <c r="K16" s="450">
        <v>22758.82</v>
      </c>
      <c r="L16" s="450">
        <v>31696.37</v>
      </c>
      <c r="M16" s="551">
        <v>14306.05</v>
      </c>
      <c r="N16" s="555">
        <f t="shared" si="0"/>
        <v>195985.59</v>
      </c>
      <c r="O16" s="388">
        <f>SUM('R 2014'!B16:M16)</f>
        <v>175046.96</v>
      </c>
      <c r="P16" s="604">
        <f t="shared" si="1"/>
        <v>0.11961721586024687</v>
      </c>
      <c r="Q16" s="623">
        <f t="shared" si="2"/>
        <v>4.1432292057250776E-3</v>
      </c>
      <c r="S16" s="323"/>
    </row>
    <row r="17" spans="1:19">
      <c r="A17" s="37" t="s">
        <v>52</v>
      </c>
      <c r="B17" s="450">
        <v>0</v>
      </c>
      <c r="C17" s="450">
        <v>0</v>
      </c>
      <c r="D17" s="450">
        <v>0</v>
      </c>
      <c r="E17" s="450">
        <v>0</v>
      </c>
      <c r="F17" s="450">
        <v>0</v>
      </c>
      <c r="G17" s="450">
        <v>3802.92</v>
      </c>
      <c r="H17" s="450">
        <v>4094.2</v>
      </c>
      <c r="I17" s="450">
        <v>8213.15</v>
      </c>
      <c r="J17" s="450">
        <v>26176.57</v>
      </c>
      <c r="K17" s="450">
        <v>0</v>
      </c>
      <c r="L17" s="450">
        <v>0</v>
      </c>
      <c r="M17" s="551">
        <v>5041.5600000000004</v>
      </c>
      <c r="N17" s="555">
        <f t="shared" si="0"/>
        <v>47328.399999999994</v>
      </c>
      <c r="O17" s="388">
        <f>SUM('R 2014'!B17:M17)</f>
        <v>0</v>
      </c>
      <c r="P17" s="604">
        <v>0</v>
      </c>
      <c r="Q17" s="623">
        <f t="shared" si="2"/>
        <v>1.0005450356847089E-3</v>
      </c>
      <c r="S17" s="323"/>
    </row>
    <row r="18" spans="1:19">
      <c r="A18" s="37" t="s">
        <v>29</v>
      </c>
      <c r="B18" s="450">
        <v>3919.67</v>
      </c>
      <c r="C18" s="450">
        <v>3420.17</v>
      </c>
      <c r="D18" s="450">
        <v>2519.4</v>
      </c>
      <c r="E18" s="450">
        <v>2310.91</v>
      </c>
      <c r="F18" s="450">
        <v>4209.29</v>
      </c>
      <c r="G18" s="450">
        <v>2889.49</v>
      </c>
      <c r="H18" s="450">
        <v>4817.37</v>
      </c>
      <c r="I18" s="450">
        <v>4129.91</v>
      </c>
      <c r="J18" s="450">
        <v>4435.53</v>
      </c>
      <c r="K18" s="450">
        <v>4270.1000000000004</v>
      </c>
      <c r="L18" s="450">
        <v>5416.64</v>
      </c>
      <c r="M18" s="551">
        <v>3858.27</v>
      </c>
      <c r="N18" s="554">
        <f t="shared" si="0"/>
        <v>46196.749999999993</v>
      </c>
      <c r="O18" s="388">
        <f>SUM('R 2014'!B18:M18)</f>
        <v>42361.03</v>
      </c>
      <c r="P18" s="604">
        <f t="shared" si="1"/>
        <v>9.0548317640057219E-2</v>
      </c>
      <c r="Q18" s="623">
        <f t="shared" si="2"/>
        <v>9.7662141287826283E-4</v>
      </c>
      <c r="S18" s="323"/>
    </row>
    <row r="19" spans="1:19">
      <c r="A19" s="37" t="s">
        <v>30</v>
      </c>
      <c r="B19" s="450">
        <v>368.44</v>
      </c>
      <c r="C19" s="450">
        <v>816.11</v>
      </c>
      <c r="D19" s="450">
        <v>245.16</v>
      </c>
      <c r="E19" s="450">
        <v>8921.14</v>
      </c>
      <c r="F19" s="450">
        <v>9828.4599999999991</v>
      </c>
      <c r="G19" s="450">
        <v>312.82</v>
      </c>
      <c r="H19" s="450">
        <v>2168.0300000000002</v>
      </c>
      <c r="I19" s="450">
        <v>5773.85</v>
      </c>
      <c r="J19" s="450">
        <v>5370.45</v>
      </c>
      <c r="K19" s="450">
        <v>5947.17</v>
      </c>
      <c r="L19" s="450">
        <v>12899.87</v>
      </c>
      <c r="M19" s="551">
        <v>965.28</v>
      </c>
      <c r="N19" s="554">
        <f t="shared" si="0"/>
        <v>53616.779999999992</v>
      </c>
      <c r="O19" s="388">
        <f>SUM('R 2014'!B19:M19)</f>
        <v>38276.53</v>
      </c>
      <c r="P19" s="604">
        <f t="shared" si="1"/>
        <v>0.40077431261402197</v>
      </c>
      <c r="Q19" s="623">
        <f t="shared" si="2"/>
        <v>1.1334843996078294E-3</v>
      </c>
      <c r="S19" s="399"/>
    </row>
    <row r="20" spans="1:19">
      <c r="A20" s="37" t="s">
        <v>31</v>
      </c>
      <c r="B20" s="450">
        <v>1422478.34</v>
      </c>
      <c r="C20" s="450">
        <v>2253842.86</v>
      </c>
      <c r="D20" s="450">
        <v>1599555.22</v>
      </c>
      <c r="E20" s="450">
        <v>1423066.5</v>
      </c>
      <c r="F20" s="450">
        <v>2282244.2200000002</v>
      </c>
      <c r="G20" s="450">
        <v>1674615.41</v>
      </c>
      <c r="H20" s="450">
        <v>1524938.64</v>
      </c>
      <c r="I20" s="450">
        <v>2166366.2799999998</v>
      </c>
      <c r="J20" s="450">
        <v>1648988.9</v>
      </c>
      <c r="K20" s="450">
        <v>1655917.93</v>
      </c>
      <c r="L20" s="450">
        <v>2156789.34</v>
      </c>
      <c r="M20" s="551">
        <v>1652683.29</v>
      </c>
      <c r="N20" s="554">
        <f t="shared" si="0"/>
        <v>21461486.93</v>
      </c>
      <c r="O20" s="388">
        <f>SUM('R 2014'!B20:M20)</f>
        <v>19393600.079999998</v>
      </c>
      <c r="P20" s="604">
        <f t="shared" si="1"/>
        <v>0.10662728124070919</v>
      </c>
      <c r="Q20" s="623">
        <f t="shared" si="2"/>
        <v>0.45370610893720825</v>
      </c>
    </row>
    <row r="21" spans="1:19">
      <c r="A21" s="37" t="s">
        <v>45</v>
      </c>
      <c r="B21" s="450">
        <v>6501.03</v>
      </c>
      <c r="C21" s="450">
        <v>6389.96</v>
      </c>
      <c r="D21" s="450">
        <v>1390.23</v>
      </c>
      <c r="E21" s="450">
        <v>3408.33</v>
      </c>
      <c r="F21" s="450">
        <v>16098.62</v>
      </c>
      <c r="G21" s="450">
        <v>6519.26</v>
      </c>
      <c r="H21" s="450">
        <v>6938.05</v>
      </c>
      <c r="I21" s="450">
        <v>16748.810000000001</v>
      </c>
      <c r="J21" s="450">
        <v>9303.18</v>
      </c>
      <c r="K21" s="450">
        <v>8485</v>
      </c>
      <c r="L21" s="450">
        <v>21688.47</v>
      </c>
      <c r="M21" s="551">
        <v>5298.73</v>
      </c>
      <c r="N21" s="555">
        <f t="shared" si="0"/>
        <v>108769.67</v>
      </c>
      <c r="O21" s="388">
        <f>SUM('R 2014'!B21:M21)</f>
        <v>100585.69000000002</v>
      </c>
      <c r="P21" s="604">
        <f t="shared" si="1"/>
        <v>8.1363263501994965E-2</v>
      </c>
      <c r="Q21" s="623">
        <f t="shared" si="2"/>
        <v>2.299442900067698E-3</v>
      </c>
    </row>
    <row r="22" spans="1:19">
      <c r="A22" s="37" t="s">
        <v>32</v>
      </c>
      <c r="B22" s="450">
        <v>7303.99</v>
      </c>
      <c r="C22" s="450">
        <v>18158.77</v>
      </c>
      <c r="D22" s="450">
        <v>6571.9</v>
      </c>
      <c r="E22" s="450">
        <v>4933.41</v>
      </c>
      <c r="F22" s="450">
        <v>22584.080000000002</v>
      </c>
      <c r="G22" s="450">
        <v>7055.68</v>
      </c>
      <c r="H22" s="450">
        <v>4388.76</v>
      </c>
      <c r="I22" s="450">
        <v>21084.23</v>
      </c>
      <c r="J22" s="450">
        <v>8089.49</v>
      </c>
      <c r="K22" s="450">
        <v>11693.04</v>
      </c>
      <c r="L22" s="450">
        <v>23899.93</v>
      </c>
      <c r="M22" s="551">
        <v>6125.21</v>
      </c>
      <c r="N22" s="554">
        <f t="shared" si="0"/>
        <v>141888.49</v>
      </c>
      <c r="O22" s="388">
        <f>SUM('R 2014'!B22:M22)</f>
        <v>130081.85000000002</v>
      </c>
      <c r="P22" s="604">
        <f t="shared" si="1"/>
        <v>9.0763161809275905E-2</v>
      </c>
      <c r="Q22" s="623">
        <f t="shared" si="2"/>
        <v>2.9995906113517356E-3</v>
      </c>
    </row>
    <row r="23" spans="1:19">
      <c r="A23" s="37" t="s">
        <v>33</v>
      </c>
      <c r="B23" s="450">
        <v>20189.009999999998</v>
      </c>
      <c r="C23" s="450">
        <v>23702.91</v>
      </c>
      <c r="D23" s="450">
        <v>13262.85</v>
      </c>
      <c r="E23" s="450">
        <v>12078.82</v>
      </c>
      <c r="F23" s="450">
        <v>30050.29</v>
      </c>
      <c r="G23" s="450">
        <v>20852.22</v>
      </c>
      <c r="H23" s="450">
        <v>23386.68</v>
      </c>
      <c r="I23" s="450">
        <v>28706.77</v>
      </c>
      <c r="J23" s="450">
        <v>20466.97</v>
      </c>
      <c r="K23" s="450">
        <v>21933.09</v>
      </c>
      <c r="L23" s="450">
        <v>28792.99</v>
      </c>
      <c r="M23" s="551">
        <v>17310.43</v>
      </c>
      <c r="N23" s="554">
        <f t="shared" si="0"/>
        <v>260733.02999999997</v>
      </c>
      <c r="O23" s="388">
        <f>SUM('R 2014'!B23:M23)</f>
        <v>235375.33999999997</v>
      </c>
      <c r="P23" s="604">
        <f t="shared" si="1"/>
        <v>0.10773299360927102</v>
      </c>
      <c r="Q23" s="623">
        <f t="shared" si="2"/>
        <v>5.5120210868217032E-3</v>
      </c>
    </row>
    <row r="24" spans="1:19">
      <c r="A24" s="37" t="s">
        <v>34</v>
      </c>
      <c r="B24" s="450">
        <v>97713.37</v>
      </c>
      <c r="C24" s="450">
        <v>317220.03000000003</v>
      </c>
      <c r="D24" s="450">
        <v>289021.68</v>
      </c>
      <c r="E24" s="450">
        <v>314034.84999999998</v>
      </c>
      <c r="F24" s="450">
        <v>355096.16</v>
      </c>
      <c r="G24" s="450">
        <v>98863.35</v>
      </c>
      <c r="H24" s="450">
        <v>93630.2</v>
      </c>
      <c r="I24" s="450">
        <v>215668.11</v>
      </c>
      <c r="J24" s="450">
        <v>215334.77</v>
      </c>
      <c r="K24" s="450">
        <v>194127.39</v>
      </c>
      <c r="L24" s="450">
        <v>199587.78</v>
      </c>
      <c r="M24" s="551">
        <v>139493.71</v>
      </c>
      <c r="N24" s="555">
        <f t="shared" si="0"/>
        <v>2529791.4</v>
      </c>
      <c r="O24" s="388">
        <f>SUM('R 2014'!B24:M24)</f>
        <v>2412061.36</v>
      </c>
      <c r="P24" s="604">
        <f t="shared" si="1"/>
        <v>4.8808890997698251E-2</v>
      </c>
      <c r="Q24" s="623">
        <f t="shared" si="2"/>
        <v>5.348100139848104E-2</v>
      </c>
    </row>
    <row r="25" spans="1:19">
      <c r="A25" s="37" t="s">
        <v>35</v>
      </c>
      <c r="B25" s="450">
        <v>35546.07</v>
      </c>
      <c r="C25" s="450">
        <v>51728.74</v>
      </c>
      <c r="D25" s="450">
        <v>36094.870000000003</v>
      </c>
      <c r="E25" s="450">
        <v>32805.82</v>
      </c>
      <c r="F25" s="450">
        <v>55571.7</v>
      </c>
      <c r="G25" s="450">
        <v>41416.629999999997</v>
      </c>
      <c r="H25" s="450">
        <v>40337.17</v>
      </c>
      <c r="I25" s="450">
        <v>59855.35</v>
      </c>
      <c r="J25" s="450">
        <v>43948.14</v>
      </c>
      <c r="K25" s="450">
        <v>42808.89</v>
      </c>
      <c r="L25" s="450">
        <v>52062.06</v>
      </c>
      <c r="M25" s="551">
        <v>43101.29</v>
      </c>
      <c r="N25" s="554">
        <f t="shared" si="0"/>
        <v>535276.73</v>
      </c>
      <c r="O25" s="388">
        <f>SUM('R 2014'!B25:M25)</f>
        <v>475145.56999999995</v>
      </c>
      <c r="P25" s="604">
        <f t="shared" si="1"/>
        <v>0.126553131917025</v>
      </c>
      <c r="Q25" s="623">
        <f t="shared" si="2"/>
        <v>1.131600634965569E-2</v>
      </c>
    </row>
    <row r="26" spans="1:19">
      <c r="A26" s="37" t="s">
        <v>36</v>
      </c>
      <c r="B26" s="450">
        <v>42071.48</v>
      </c>
      <c r="C26" s="450">
        <v>48667.47</v>
      </c>
      <c r="D26" s="450">
        <v>32927.71</v>
      </c>
      <c r="E26" s="450">
        <v>29336.54</v>
      </c>
      <c r="F26" s="450">
        <v>47555.51</v>
      </c>
      <c r="G26" s="450">
        <v>35263.35</v>
      </c>
      <c r="H26" s="450">
        <v>32616.54</v>
      </c>
      <c r="I26" s="450">
        <v>46697.91</v>
      </c>
      <c r="J26" s="450">
        <v>37012.79</v>
      </c>
      <c r="K26" s="450">
        <v>28774.42</v>
      </c>
      <c r="L26" s="450">
        <v>41885.269999999997</v>
      </c>
      <c r="M26" s="551">
        <v>25952.37</v>
      </c>
      <c r="N26" s="554">
        <f t="shared" si="0"/>
        <v>448761.36</v>
      </c>
      <c r="O26" s="388">
        <f>SUM('R 2014'!B26:M26)</f>
        <v>443615.72000000003</v>
      </c>
      <c r="P26" s="604">
        <f t="shared" si="1"/>
        <v>1.159931843713724E-2</v>
      </c>
      <c r="Q26" s="623">
        <f t="shared" si="2"/>
        <v>9.4870300064045805E-3</v>
      </c>
    </row>
    <row r="27" spans="1:19">
      <c r="A27" s="37" t="s">
        <v>37</v>
      </c>
      <c r="B27" s="450">
        <v>484916.24</v>
      </c>
      <c r="C27" s="450">
        <v>673225.24</v>
      </c>
      <c r="D27" s="450">
        <v>497420.63</v>
      </c>
      <c r="E27" s="450">
        <v>433495.73</v>
      </c>
      <c r="F27" s="450">
        <v>712466.47</v>
      </c>
      <c r="G27" s="450">
        <v>552959.4</v>
      </c>
      <c r="H27" s="450">
        <v>518811.8</v>
      </c>
      <c r="I27" s="450">
        <v>688729.28</v>
      </c>
      <c r="J27" s="450">
        <v>556308.62</v>
      </c>
      <c r="K27" s="450">
        <v>549519.06000000006</v>
      </c>
      <c r="L27" s="450">
        <v>715673.24</v>
      </c>
      <c r="M27" s="551">
        <v>574870.24</v>
      </c>
      <c r="N27" s="554">
        <f t="shared" si="0"/>
        <v>6958395.9499999993</v>
      </c>
      <c r="O27" s="388">
        <f>SUM('R 2014'!B27:M27)</f>
        <v>6062587.9100000001</v>
      </c>
      <c r="P27" s="604">
        <f t="shared" si="1"/>
        <v>0.14776000831631642</v>
      </c>
      <c r="Q27" s="623">
        <f t="shared" si="2"/>
        <v>0.14710382189343152</v>
      </c>
    </row>
    <row r="28" spans="1:19">
      <c r="A28" s="37" t="s">
        <v>38</v>
      </c>
      <c r="B28" s="450">
        <v>38174.83</v>
      </c>
      <c r="C28" s="450">
        <v>40764.31</v>
      </c>
      <c r="D28" s="450">
        <v>60987.29</v>
      </c>
      <c r="E28" s="450">
        <v>17353.39</v>
      </c>
      <c r="F28" s="450">
        <v>63874.5</v>
      </c>
      <c r="G28" s="450">
        <v>30660.73</v>
      </c>
      <c r="H28" s="450">
        <v>23787.200000000001</v>
      </c>
      <c r="I28" s="450">
        <v>59700.92</v>
      </c>
      <c r="J28" s="450">
        <v>44578.54</v>
      </c>
      <c r="K28" s="450">
        <v>48041.19</v>
      </c>
      <c r="L28" s="450">
        <v>72180.05</v>
      </c>
      <c r="M28" s="551">
        <v>24719.115000000002</v>
      </c>
      <c r="N28" s="555">
        <f t="shared" si="0"/>
        <v>524822.06499999994</v>
      </c>
      <c r="O28" s="388">
        <f>SUM('R 2014'!B28:M28)</f>
        <v>455625.64999999997</v>
      </c>
      <c r="P28" s="604">
        <f t="shared" si="1"/>
        <v>0.15187120172009627</v>
      </c>
      <c r="Q28" s="623">
        <f t="shared" si="2"/>
        <v>1.1094989726116828E-2</v>
      </c>
    </row>
    <row r="29" spans="1:19">
      <c r="A29" s="37" t="s">
        <v>39</v>
      </c>
      <c r="B29" s="450">
        <v>165505.60999999999</v>
      </c>
      <c r="C29" s="450">
        <v>267713.57</v>
      </c>
      <c r="D29" s="450">
        <v>171014</v>
      </c>
      <c r="E29" s="450">
        <v>153708.95000000001</v>
      </c>
      <c r="F29" s="450">
        <v>294573.67</v>
      </c>
      <c r="G29" s="450">
        <v>214095.6</v>
      </c>
      <c r="H29" s="450">
        <v>196254.46</v>
      </c>
      <c r="I29" s="450">
        <v>330563.63</v>
      </c>
      <c r="J29" s="450">
        <v>169373.62</v>
      </c>
      <c r="K29" s="450">
        <v>211529.3</v>
      </c>
      <c r="L29" s="450">
        <v>277588.67</v>
      </c>
      <c r="M29" s="551">
        <v>226554.23</v>
      </c>
      <c r="N29" s="555">
        <f t="shared" si="0"/>
        <v>2678475.3099999996</v>
      </c>
      <c r="O29" s="388">
        <f>SUM('R 2014'!B29:M29)</f>
        <v>2381042.89</v>
      </c>
      <c r="P29" s="604">
        <f t="shared" si="1"/>
        <v>0.12491686783516931</v>
      </c>
      <c r="Q29" s="623">
        <f t="shared" si="2"/>
        <v>5.6624250442114291E-2</v>
      </c>
    </row>
    <row r="30" spans="1:19">
      <c r="A30" s="37" t="s">
        <v>40</v>
      </c>
      <c r="B30" s="449">
        <v>4731.9399999999996</v>
      </c>
      <c r="C30" s="449">
        <v>4417.2299999999996</v>
      </c>
      <c r="D30" s="449">
        <v>2312.9499999999998</v>
      </c>
      <c r="E30" s="449">
        <v>660.56</v>
      </c>
      <c r="F30" s="449">
        <v>3063.82</v>
      </c>
      <c r="G30" s="449">
        <v>7343.11</v>
      </c>
      <c r="H30" s="449">
        <v>5008.8599999999997</v>
      </c>
      <c r="I30" s="449">
        <v>11290.9</v>
      </c>
      <c r="J30" s="449">
        <v>7265.07</v>
      </c>
      <c r="K30" s="449">
        <v>3432.64</v>
      </c>
      <c r="L30" s="449">
        <v>15722.55</v>
      </c>
      <c r="M30" s="550">
        <v>3637.22</v>
      </c>
      <c r="N30" s="554">
        <f t="shared" si="0"/>
        <v>68886.849999999991</v>
      </c>
      <c r="O30" s="388">
        <f>SUM('R 2014'!B30:M30)</f>
        <v>57822.709999999992</v>
      </c>
      <c r="P30" s="604">
        <f t="shared" si="1"/>
        <v>0.19134592619405066</v>
      </c>
      <c r="Q30" s="623">
        <f t="shared" si="2"/>
        <v>1.4563009903452726E-3</v>
      </c>
    </row>
    <row r="31" spans="1:19" ht="11" thickBot="1">
      <c r="A31" s="38" t="s">
        <v>41</v>
      </c>
      <c r="B31" s="449">
        <v>205696.56</v>
      </c>
      <c r="C31" s="449">
        <v>325730.84999999998</v>
      </c>
      <c r="D31" s="449">
        <v>219232.51</v>
      </c>
      <c r="E31" s="449">
        <v>197362.3</v>
      </c>
      <c r="F31" s="449">
        <v>322033.84999999998</v>
      </c>
      <c r="G31" s="449">
        <v>246602.72</v>
      </c>
      <c r="H31" s="449">
        <v>244039.7</v>
      </c>
      <c r="I31" s="449">
        <v>346994.52</v>
      </c>
      <c r="J31" s="449">
        <v>232699.98</v>
      </c>
      <c r="K31" s="449">
        <v>242193.17</v>
      </c>
      <c r="L31" s="449">
        <v>347719.52</v>
      </c>
      <c r="M31" s="550">
        <v>239584.71</v>
      </c>
      <c r="N31" s="556">
        <f t="shared" si="0"/>
        <v>3169890.3899999997</v>
      </c>
      <c r="O31" s="388">
        <f>SUM('R 2014'!B31:M31)</f>
        <v>2851503.5</v>
      </c>
      <c r="P31" s="647">
        <f t="shared" si="1"/>
        <v>0.11165579491661148</v>
      </c>
      <c r="Q31" s="567">
        <f t="shared" si="2"/>
        <v>6.7013000510880702E-2</v>
      </c>
    </row>
    <row r="32" spans="1:19" ht="12" thickTop="1" thickBot="1">
      <c r="A32" s="137" t="s">
        <v>0</v>
      </c>
      <c r="B32" s="451">
        <f t="shared" ref="B32:O32" si="3">SUM(B4:B31)</f>
        <v>3057430.9</v>
      </c>
      <c r="C32" s="452">
        <f t="shared" si="3"/>
        <v>4836406.08</v>
      </c>
      <c r="D32" s="452">
        <f t="shared" si="3"/>
        <v>3441804.75</v>
      </c>
      <c r="E32" s="452">
        <f t="shared" si="3"/>
        <v>3113237.33</v>
      </c>
      <c r="F32" s="452">
        <f t="shared" si="3"/>
        <v>5023178.4800000004</v>
      </c>
      <c r="G32" s="452">
        <f t="shared" si="3"/>
        <v>3575235.0100000002</v>
      </c>
      <c r="H32" s="452">
        <f t="shared" si="3"/>
        <v>3369517.9899999998</v>
      </c>
      <c r="I32" s="452">
        <f t="shared" si="3"/>
        <v>4925743.2300000004</v>
      </c>
      <c r="J32" s="452">
        <f t="shared" si="3"/>
        <v>3710491.9400000009</v>
      </c>
      <c r="K32" s="452">
        <f t="shared" si="3"/>
        <v>3726070.09</v>
      </c>
      <c r="L32" s="452">
        <f t="shared" si="3"/>
        <v>4887634</v>
      </c>
      <c r="M32" s="552">
        <f t="shared" si="3"/>
        <v>3635868.5850000009</v>
      </c>
      <c r="N32" s="557">
        <f>SUM(N4:N31)</f>
        <v>47302618.384999998</v>
      </c>
      <c r="O32" s="453">
        <f t="shared" si="3"/>
        <v>42504366.083000004</v>
      </c>
      <c r="P32" s="445">
        <f>N32/O32-1</f>
        <v>0.11288845697946059</v>
      </c>
      <c r="Q32" s="625">
        <f t="shared" si="2"/>
        <v>1</v>
      </c>
    </row>
    <row r="33" spans="1:17" ht="13" thickBot="1">
      <c r="A33" s="537" t="s">
        <v>344</v>
      </c>
      <c r="B33" s="538">
        <f>B32/'R 2014'!B32-1</f>
        <v>0.13962840371226748</v>
      </c>
      <c r="C33" s="538">
        <f>C32/'R 2014'!C32-1</f>
        <v>0.21753716751898722</v>
      </c>
      <c r="D33" s="538">
        <f>D32/'R 2014'!D32-1</f>
        <v>8.0232390941670673E-2</v>
      </c>
      <c r="E33" s="538">
        <f>E32/'R 2014'!E32-1</f>
        <v>3.2998031630125269E-2</v>
      </c>
      <c r="F33" s="538">
        <f>F32/'R 2014'!F32-1</f>
        <v>7.1651646013802361E-2</v>
      </c>
      <c r="G33" s="538">
        <f>G32/'R 2014'!G32-1</f>
        <v>0.1729462023676287</v>
      </c>
      <c r="H33" s="538">
        <f>H32/'R 2014'!H32-1</f>
        <v>8.063031195553938E-2</v>
      </c>
      <c r="I33" s="538">
        <f>I32/'R 2014'!I32-1</f>
        <v>7.9244106139212844E-2</v>
      </c>
      <c r="J33" s="538">
        <f>J32/'R 2014'!J32-1</f>
        <v>0.12407104475249353</v>
      </c>
      <c r="K33" s="538">
        <f>K32/'R 2014'!K32-1</f>
        <v>0.10467777410441603</v>
      </c>
      <c r="L33" s="538">
        <f>L32/'R 2014'!L32-1</f>
        <v>9.4282209921626059E-2</v>
      </c>
      <c r="M33" s="538">
        <f>M32/'R 2014'!M32-1</f>
        <v>0.17617747222483993</v>
      </c>
      <c r="N33" s="569"/>
      <c r="O33" s="570"/>
      <c r="P33" s="571"/>
      <c r="Q33" s="571"/>
    </row>
    <row r="34" spans="1:17">
      <c r="N34" s="323"/>
      <c r="O34" s="323"/>
    </row>
    <row r="35" spans="1:17">
      <c r="C35" s="323"/>
      <c r="N35" s="323"/>
    </row>
    <row r="36" spans="1:17">
      <c r="C36" s="400"/>
      <c r="I36" s="401"/>
      <c r="N36" s="323"/>
    </row>
    <row r="37" spans="1:17">
      <c r="I37" s="401"/>
      <c r="N37" s="323"/>
    </row>
    <row r="38" spans="1:17">
      <c r="A38" s="287"/>
      <c r="F38" s="323"/>
      <c r="N38" s="323"/>
    </row>
    <row r="41" spans="1:17">
      <c r="P41" s="73"/>
    </row>
    <row r="42" spans="1:17">
      <c r="P42" s="229"/>
    </row>
    <row r="43" spans="1:17">
      <c r="N43" s="323"/>
      <c r="P43" s="73"/>
    </row>
  </sheetData>
  <mergeCells count="1">
    <mergeCell ref="A1:Q1"/>
  </mergeCells>
  <printOptions horizontalCentered="1"/>
  <pageMargins left="0.25" right="0.25" top="0.25" bottom="0.25" header="0" footer="0"/>
  <pageSetup scale="78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 enableFormatConditionsCalculation="0">
    <tabColor rgb="FFFFFF00"/>
    <pageSetUpPr fitToPage="1"/>
  </sheetPr>
  <dimension ref="A1:S43"/>
  <sheetViews>
    <sheetView workbookViewId="0">
      <pane xSplit="1" ySplit="3" topLeftCell="B4" activePane="bottomRight" state="frozen"/>
      <selection activeCell="H31" sqref="H31"/>
      <selection pane="topRight" activeCell="H31" sqref="H31"/>
      <selection pane="bottomLeft" activeCell="H31" sqref="H31"/>
      <selection pane="bottomRight" activeCell="P20" sqref="P20"/>
    </sheetView>
  </sheetViews>
  <sheetFormatPr baseColWidth="10" defaultColWidth="9.1640625" defaultRowHeight="10" x14ac:dyDescent="0"/>
  <cols>
    <col min="1" max="1" width="11.33203125" style="1" bestFit="1" customWidth="1"/>
    <col min="2" max="5" width="11" style="1" bestFit="1" customWidth="1"/>
    <col min="6" max="6" width="11.5" style="1" bestFit="1" customWidth="1"/>
    <col min="7" max="9" width="11" style="1" bestFit="1" customWidth="1"/>
    <col min="10" max="10" width="10.83203125" style="1" bestFit="1" customWidth="1"/>
    <col min="11" max="11" width="10.5" style="1" bestFit="1" customWidth="1"/>
    <col min="12" max="13" width="9.5" style="1" bestFit="1" customWidth="1"/>
    <col min="14" max="15" width="11.6640625" style="1" bestFit="1" customWidth="1"/>
    <col min="16" max="16" width="10.1640625" style="1" bestFit="1" customWidth="1"/>
    <col min="17" max="18" width="9.1640625" style="1"/>
    <col min="19" max="19" width="10.1640625" style="1" bestFit="1" customWidth="1"/>
    <col min="20" max="16384" width="9.1640625" style="1"/>
  </cols>
  <sheetData>
    <row r="1" spans="1:19" ht="17">
      <c r="A1" s="709" t="s">
        <v>149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</row>
    <row r="2" spans="1:19" ht="11" thickBot="1">
      <c r="B2" s="2"/>
    </row>
    <row r="3" spans="1:19" ht="11" thickBot="1">
      <c r="A3" s="129" t="s">
        <v>42</v>
      </c>
      <c r="B3" s="130" t="s">
        <v>2</v>
      </c>
      <c r="C3" s="131" t="s">
        <v>3</v>
      </c>
      <c r="D3" s="131" t="s">
        <v>4</v>
      </c>
      <c r="E3" s="131" t="s">
        <v>5</v>
      </c>
      <c r="F3" s="131" t="s">
        <v>6</v>
      </c>
      <c r="G3" s="131" t="s">
        <v>7</v>
      </c>
      <c r="H3" s="131" t="s">
        <v>8</v>
      </c>
      <c r="I3" s="131" t="s">
        <v>9</v>
      </c>
      <c r="J3" s="131" t="s">
        <v>10</v>
      </c>
      <c r="K3" s="131" t="s">
        <v>11</v>
      </c>
      <c r="L3" s="131" t="s">
        <v>12</v>
      </c>
      <c r="M3" s="398" t="s">
        <v>13</v>
      </c>
      <c r="N3" s="533" t="s">
        <v>147</v>
      </c>
      <c r="O3" s="443" t="s">
        <v>127</v>
      </c>
      <c r="P3" s="446" t="s">
        <v>16</v>
      </c>
    </row>
    <row r="4" spans="1:19">
      <c r="A4" s="37" t="s">
        <v>17</v>
      </c>
      <c r="B4" s="449">
        <v>5140.4799999999996</v>
      </c>
      <c r="C4" s="449">
        <v>11192.58</v>
      </c>
      <c r="D4" s="449">
        <v>4229.8500000000004</v>
      </c>
      <c r="E4" s="449">
        <v>4030.4</v>
      </c>
      <c r="F4" s="449">
        <v>13349</v>
      </c>
      <c r="G4" s="449">
        <v>5327.59</v>
      </c>
      <c r="H4" s="449">
        <v>5133.4399999999996</v>
      </c>
      <c r="I4" s="449">
        <v>13921.95</v>
      </c>
      <c r="J4" s="449">
        <v>7483.66</v>
      </c>
      <c r="K4" s="449">
        <v>6731.34</v>
      </c>
      <c r="L4" s="449">
        <v>13742.07</v>
      </c>
      <c r="M4" s="550">
        <v>5514.46</v>
      </c>
      <c r="N4" s="553">
        <f t="shared" ref="N4:N31" si="0">SUM(B4:M4)</f>
        <v>95796.819999999992</v>
      </c>
      <c r="O4" s="388">
        <f>SUM('R 2013'!B4:M4)</f>
        <v>92101.98000000001</v>
      </c>
      <c r="P4" s="389">
        <f t="shared" ref="P4:P31" si="1">N4/O4-1</f>
        <v>4.0116835707549203E-2</v>
      </c>
    </row>
    <row r="5" spans="1:19">
      <c r="A5" s="37" t="s">
        <v>18</v>
      </c>
      <c r="B5" s="449">
        <v>26440.97</v>
      </c>
      <c r="C5" s="449">
        <v>51522.63</v>
      </c>
      <c r="D5" s="449">
        <v>26350.67</v>
      </c>
      <c r="E5" s="449">
        <v>26767.83</v>
      </c>
      <c r="F5" s="449">
        <v>49200</v>
      </c>
      <c r="G5" s="449">
        <v>34033.93</v>
      </c>
      <c r="H5" s="449">
        <v>33990.07</v>
      </c>
      <c r="I5" s="449">
        <v>54082.32</v>
      </c>
      <c r="J5" s="449">
        <v>47017.66</v>
      </c>
      <c r="K5" s="449">
        <v>24169.63</v>
      </c>
      <c r="L5" s="449">
        <v>59804.66</v>
      </c>
      <c r="M5" s="550">
        <v>31211.34</v>
      </c>
      <c r="N5" s="554">
        <f t="shared" si="0"/>
        <v>464591.71</v>
      </c>
      <c r="O5" s="388">
        <f>SUM('R 2013'!B5:M5)</f>
        <v>440538.23000000004</v>
      </c>
      <c r="P5" s="389">
        <f t="shared" si="1"/>
        <v>5.460021029275941E-2</v>
      </c>
    </row>
    <row r="6" spans="1:19">
      <c r="A6" s="37" t="s">
        <v>19</v>
      </c>
      <c r="B6" s="449">
        <v>84527.89</v>
      </c>
      <c r="C6" s="449">
        <v>111633.53</v>
      </c>
      <c r="D6" s="449">
        <v>88980.160000000003</v>
      </c>
      <c r="E6" s="449">
        <v>77020.210000000006</v>
      </c>
      <c r="F6" s="449">
        <v>135360</v>
      </c>
      <c r="G6" s="449">
        <v>102524.66</v>
      </c>
      <c r="H6" s="449">
        <v>92327.31</v>
      </c>
      <c r="I6" s="449">
        <v>122523.24</v>
      </c>
      <c r="J6" s="449">
        <v>94148.45</v>
      </c>
      <c r="K6" s="449">
        <v>95343.94</v>
      </c>
      <c r="L6" s="449">
        <v>130816.66</v>
      </c>
      <c r="M6" s="550">
        <v>86412.68</v>
      </c>
      <c r="N6" s="554">
        <f t="shared" si="0"/>
        <v>1221618.7299999997</v>
      </c>
      <c r="O6" s="388">
        <f>SUM('R 2013'!B6:M6)</f>
        <v>1136414.3</v>
      </c>
      <c r="P6" s="389">
        <f t="shared" si="1"/>
        <v>7.4976555645242859E-2</v>
      </c>
    </row>
    <row r="7" spans="1:19">
      <c r="A7" s="37" t="s">
        <v>20</v>
      </c>
      <c r="B7" s="449">
        <v>11036.01</v>
      </c>
      <c r="C7" s="449">
        <v>24018.400000000001</v>
      </c>
      <c r="D7" s="449">
        <v>13685.02</v>
      </c>
      <c r="E7" s="449">
        <v>14661.52</v>
      </c>
      <c r="F7" s="449">
        <v>26461</v>
      </c>
      <c r="G7" s="449">
        <v>16825.3</v>
      </c>
      <c r="H7" s="449">
        <v>9156.74</v>
      </c>
      <c r="I7" s="449">
        <v>27484.01</v>
      </c>
      <c r="J7" s="449">
        <v>19207.8</v>
      </c>
      <c r="K7" s="449">
        <v>15233.56</v>
      </c>
      <c r="L7" s="449">
        <v>30406.36</v>
      </c>
      <c r="M7" s="550">
        <v>16686.66</v>
      </c>
      <c r="N7" s="554">
        <f t="shared" si="0"/>
        <v>224862.38000000003</v>
      </c>
      <c r="O7" s="388">
        <f>SUM('R 2013'!B7:M7)</f>
        <v>220891.32</v>
      </c>
      <c r="P7" s="389">
        <f t="shared" si="1"/>
        <v>1.7977437954556308E-2</v>
      </c>
    </row>
    <row r="8" spans="1:19">
      <c r="A8" s="37" t="s">
        <v>21</v>
      </c>
      <c r="B8" s="449">
        <v>285.5</v>
      </c>
      <c r="C8" s="449">
        <v>254.56</v>
      </c>
      <c r="D8" s="449">
        <v>1274.57</v>
      </c>
      <c r="E8" s="449">
        <v>667.48</v>
      </c>
      <c r="F8" s="449">
        <v>662</v>
      </c>
      <c r="G8" s="449">
        <v>2343.9499999999998</v>
      </c>
      <c r="H8" s="449">
        <v>2495.08</v>
      </c>
      <c r="I8" s="449">
        <v>5060.1000000000004</v>
      </c>
      <c r="J8" s="449">
        <v>2554.08</v>
      </c>
      <c r="K8" s="449">
        <v>1341.5</v>
      </c>
      <c r="L8" s="449">
        <v>3132.71</v>
      </c>
      <c r="M8" s="550">
        <v>925.76</v>
      </c>
      <c r="N8" s="554">
        <f t="shared" si="0"/>
        <v>20997.289999999997</v>
      </c>
      <c r="O8" s="388">
        <f>SUM('R 2013'!B8:M8)</f>
        <v>15555.48</v>
      </c>
      <c r="P8" s="389">
        <f t="shared" si="1"/>
        <v>0.349832342042804</v>
      </c>
    </row>
    <row r="9" spans="1:19">
      <c r="A9" s="37" t="s">
        <v>22</v>
      </c>
      <c r="B9" s="449">
        <v>234150.67</v>
      </c>
      <c r="C9" s="449">
        <v>319158.59000000003</v>
      </c>
      <c r="D9" s="449">
        <v>254095.49</v>
      </c>
      <c r="E9" s="449">
        <v>235248.86</v>
      </c>
      <c r="F9" s="449">
        <v>374397</v>
      </c>
      <c r="G9" s="449">
        <v>251655.1</v>
      </c>
      <c r="H9" s="449">
        <v>288973.51</v>
      </c>
      <c r="I9" s="449">
        <v>396763.72</v>
      </c>
      <c r="J9" s="449">
        <v>302939.15000000002</v>
      </c>
      <c r="K9" s="449">
        <v>297175.23</v>
      </c>
      <c r="L9" s="449">
        <v>357054.61</v>
      </c>
      <c r="M9" s="550">
        <v>282400.37</v>
      </c>
      <c r="N9" s="554">
        <f t="shared" si="0"/>
        <v>3594012.3</v>
      </c>
      <c r="O9" s="388">
        <f>SUM('R 2013'!B9:M9)</f>
        <v>3412933.2099999995</v>
      </c>
      <c r="P9" s="389">
        <f t="shared" si="1"/>
        <v>5.3056734151559981E-2</v>
      </c>
    </row>
    <row r="10" spans="1:19">
      <c r="A10" s="37" t="s">
        <v>23</v>
      </c>
      <c r="B10" s="449">
        <v>11028.33</v>
      </c>
      <c r="C10" s="449">
        <v>22588.11</v>
      </c>
      <c r="D10" s="449">
        <v>8628.74</v>
      </c>
      <c r="E10" s="449">
        <v>13454.31</v>
      </c>
      <c r="F10" s="449">
        <v>23842</v>
      </c>
      <c r="G10" s="449">
        <v>9033.99</v>
      </c>
      <c r="H10" s="449">
        <v>12537.29</v>
      </c>
      <c r="I10" s="449">
        <v>22246.51</v>
      </c>
      <c r="J10" s="449">
        <v>11055.59</v>
      </c>
      <c r="K10" s="449">
        <v>11735.15</v>
      </c>
      <c r="L10" s="449">
        <v>26696.82</v>
      </c>
      <c r="M10" s="550">
        <v>13853.95</v>
      </c>
      <c r="N10" s="554">
        <f t="shared" si="0"/>
        <v>186700.79</v>
      </c>
      <c r="O10" s="388">
        <f>SUM('R 2013'!B10:M10)</f>
        <v>191782.31999999998</v>
      </c>
      <c r="P10" s="389">
        <f t="shared" si="1"/>
        <v>-2.6496342311428722E-2</v>
      </c>
    </row>
    <row r="11" spans="1:19">
      <c r="A11" s="37" t="s">
        <v>51</v>
      </c>
      <c r="B11" s="449">
        <v>2359.9299999999998</v>
      </c>
      <c r="C11" s="449">
        <v>4154.34</v>
      </c>
      <c r="D11" s="449">
        <v>2461.87</v>
      </c>
      <c r="E11" s="449">
        <v>1870.8</v>
      </c>
      <c r="F11" s="449">
        <v>4625</v>
      </c>
      <c r="G11" s="449">
        <v>3419.56</v>
      </c>
      <c r="H11" s="449">
        <v>3810.42</v>
      </c>
      <c r="I11" s="449">
        <v>10218.040000000001</v>
      </c>
      <c r="J11" s="449">
        <v>4391.55</v>
      </c>
      <c r="K11" s="449">
        <v>4272.8999999999996</v>
      </c>
      <c r="L11" s="449">
        <v>10935.82</v>
      </c>
      <c r="M11" s="550">
        <v>2188.67</v>
      </c>
      <c r="N11" s="554">
        <f t="shared" si="0"/>
        <v>54708.9</v>
      </c>
      <c r="O11" s="388">
        <f>SUM('R 2013'!B11:M11)</f>
        <v>45720.259999999995</v>
      </c>
      <c r="P11" s="389">
        <f t="shared" si="1"/>
        <v>0.19660080673207037</v>
      </c>
    </row>
    <row r="12" spans="1:19">
      <c r="A12" s="37" t="s">
        <v>24</v>
      </c>
      <c r="B12" s="449">
        <v>5176.0200000000004</v>
      </c>
      <c r="C12" s="449">
        <v>7273.5230000000001</v>
      </c>
      <c r="D12" s="449">
        <v>1967.72</v>
      </c>
      <c r="E12" s="449">
        <v>4021.39</v>
      </c>
      <c r="F12" s="449">
        <v>9254</v>
      </c>
      <c r="G12" s="449">
        <v>16325.21</v>
      </c>
      <c r="H12" s="449">
        <v>36972.36</v>
      </c>
      <c r="I12" s="449">
        <v>37114.589999999997</v>
      </c>
      <c r="J12" s="449">
        <v>27579.83</v>
      </c>
      <c r="K12" s="449">
        <v>32324.03</v>
      </c>
      <c r="L12" s="449">
        <v>49788</v>
      </c>
      <c r="M12" s="550">
        <v>8926.2199999999993</v>
      </c>
      <c r="N12" s="554">
        <f t="shared" si="0"/>
        <v>236722.89299999998</v>
      </c>
      <c r="O12" s="388">
        <f>SUM('R 2013'!B12:M12)</f>
        <v>200138.37000000002</v>
      </c>
      <c r="P12" s="389">
        <f t="shared" si="1"/>
        <v>0.1827961474853621</v>
      </c>
    </row>
    <row r="13" spans="1:19">
      <c r="A13" s="37" t="s">
        <v>25</v>
      </c>
      <c r="B13" s="450">
        <v>19689.740000000002</v>
      </c>
      <c r="C13" s="450">
        <v>22568.65</v>
      </c>
      <c r="D13" s="450">
        <v>12317.45</v>
      </c>
      <c r="E13" s="450">
        <v>13535.88</v>
      </c>
      <c r="F13" s="450">
        <v>40673</v>
      </c>
      <c r="G13" s="450">
        <v>47642.01</v>
      </c>
      <c r="H13" s="450">
        <v>43931.91</v>
      </c>
      <c r="I13" s="450">
        <v>66720.66</v>
      </c>
      <c r="J13" s="450">
        <v>41880.76</v>
      </c>
      <c r="K13" s="450">
        <v>42458.080000000002</v>
      </c>
      <c r="L13" s="450">
        <v>66225.5</v>
      </c>
      <c r="M13" s="551">
        <v>37451.1</v>
      </c>
      <c r="N13" s="555">
        <f t="shared" si="0"/>
        <v>455094.74000000005</v>
      </c>
      <c r="O13" s="388">
        <f>SUM('R 2013'!B13:M13)</f>
        <v>409186.99999999994</v>
      </c>
      <c r="P13" s="389">
        <f t="shared" si="1"/>
        <v>0.11219256721254611</v>
      </c>
    </row>
    <row r="14" spans="1:19">
      <c r="A14" s="37" t="s">
        <v>26</v>
      </c>
      <c r="B14" s="450">
        <v>38672.550000000003</v>
      </c>
      <c r="C14" s="450">
        <v>51316.69</v>
      </c>
      <c r="D14" s="450">
        <v>38320.639999999999</v>
      </c>
      <c r="E14" s="450">
        <v>41273.79</v>
      </c>
      <c r="F14" s="450">
        <v>62588</v>
      </c>
      <c r="G14" s="450">
        <v>40312.75</v>
      </c>
      <c r="H14" s="450">
        <v>50102.080000000002</v>
      </c>
      <c r="I14" s="450">
        <v>68979.02</v>
      </c>
      <c r="J14" s="450">
        <v>49003.29</v>
      </c>
      <c r="K14" s="450">
        <v>52843.35</v>
      </c>
      <c r="L14" s="450">
        <v>61857.07</v>
      </c>
      <c r="M14" s="551">
        <v>40035.54</v>
      </c>
      <c r="N14" s="555">
        <f t="shared" si="0"/>
        <v>595304.77</v>
      </c>
      <c r="O14" s="388">
        <f>SUM('R 2013'!B14:M14)</f>
        <v>547447.05000000005</v>
      </c>
      <c r="P14" s="389">
        <f t="shared" si="1"/>
        <v>8.7419815304512039E-2</v>
      </c>
    </row>
    <row r="15" spans="1:19">
      <c r="A15" s="37" t="s">
        <v>27</v>
      </c>
      <c r="B15" s="450">
        <v>5321.32</v>
      </c>
      <c r="C15" s="450">
        <v>10775.91</v>
      </c>
      <c r="D15" s="450">
        <v>4628.87</v>
      </c>
      <c r="E15" s="450">
        <v>6149.72</v>
      </c>
      <c r="F15" s="450">
        <v>12337</v>
      </c>
      <c r="G15" s="450">
        <v>6259.06</v>
      </c>
      <c r="H15" s="450">
        <v>6261.26</v>
      </c>
      <c r="I15" s="450">
        <v>14746.46</v>
      </c>
      <c r="J15" s="450">
        <v>7231.78</v>
      </c>
      <c r="K15" s="450">
        <v>8318.89</v>
      </c>
      <c r="L15" s="450">
        <v>10946.15</v>
      </c>
      <c r="M15" s="551">
        <v>6245.55</v>
      </c>
      <c r="N15" s="554">
        <f t="shared" si="0"/>
        <v>99221.97</v>
      </c>
      <c r="O15" s="388">
        <f>SUM('R 2013'!B15:M15)</f>
        <v>94654.700000000012</v>
      </c>
      <c r="P15" s="389">
        <f t="shared" si="1"/>
        <v>4.8251909308254071E-2</v>
      </c>
    </row>
    <row r="16" spans="1:19">
      <c r="A16" s="37" t="s">
        <v>28</v>
      </c>
      <c r="B16" s="450">
        <v>7811.17</v>
      </c>
      <c r="C16" s="450">
        <v>9179.65</v>
      </c>
      <c r="D16" s="450">
        <v>5958.04</v>
      </c>
      <c r="E16" s="450">
        <v>5052.9399999999996</v>
      </c>
      <c r="F16" s="450">
        <v>12847</v>
      </c>
      <c r="G16" s="450">
        <v>11783.46</v>
      </c>
      <c r="H16" s="450">
        <v>14788.99</v>
      </c>
      <c r="I16" s="450">
        <v>25217.19</v>
      </c>
      <c r="J16" s="450">
        <v>18295.080000000002</v>
      </c>
      <c r="K16" s="450">
        <v>17032.36</v>
      </c>
      <c r="L16" s="450">
        <v>28482.959999999999</v>
      </c>
      <c r="M16" s="551">
        <v>18598.12</v>
      </c>
      <c r="N16" s="555">
        <f t="shared" si="0"/>
        <v>175046.96</v>
      </c>
      <c r="O16" s="388">
        <f>SUM('R 2013'!B16:M16)</f>
        <v>168902.34</v>
      </c>
      <c r="P16" s="389">
        <f t="shared" si="1"/>
        <v>3.6379720967749662E-2</v>
      </c>
      <c r="S16" s="323"/>
    </row>
    <row r="17" spans="1:19">
      <c r="A17" s="37" t="s">
        <v>52</v>
      </c>
      <c r="B17" s="450">
        <v>0</v>
      </c>
      <c r="C17" s="450">
        <v>0</v>
      </c>
      <c r="D17" s="450">
        <v>0</v>
      </c>
      <c r="E17" s="450">
        <v>0</v>
      </c>
      <c r="F17" s="450">
        <v>0</v>
      </c>
      <c r="G17" s="450">
        <v>0</v>
      </c>
      <c r="H17" s="450">
        <v>0</v>
      </c>
      <c r="I17" s="450">
        <v>0</v>
      </c>
      <c r="J17" s="450">
        <v>0</v>
      </c>
      <c r="K17" s="450">
        <v>0</v>
      </c>
      <c r="L17" s="450">
        <v>0</v>
      </c>
      <c r="M17" s="450">
        <v>0</v>
      </c>
      <c r="N17" s="555">
        <f t="shared" si="0"/>
        <v>0</v>
      </c>
      <c r="O17" s="388"/>
      <c r="P17" s="389"/>
      <c r="S17" s="323"/>
    </row>
    <row r="18" spans="1:19">
      <c r="A18" s="37" t="s">
        <v>29</v>
      </c>
      <c r="B18" s="450">
        <v>1867.56</v>
      </c>
      <c r="C18" s="450">
        <v>4126.59</v>
      </c>
      <c r="D18" s="450">
        <v>2068.9899999999998</v>
      </c>
      <c r="E18" s="450">
        <v>1906.89</v>
      </c>
      <c r="F18" s="450">
        <v>4036</v>
      </c>
      <c r="G18" s="450">
        <v>2384.31</v>
      </c>
      <c r="H18" s="450">
        <v>3266.1</v>
      </c>
      <c r="I18" s="450">
        <v>6246.3</v>
      </c>
      <c r="J18" s="450">
        <v>4090.93</v>
      </c>
      <c r="K18" s="450">
        <v>3881.22</v>
      </c>
      <c r="L18" s="450">
        <v>5355.63</v>
      </c>
      <c r="M18" s="551">
        <v>3130.51</v>
      </c>
      <c r="N18" s="554">
        <f t="shared" si="0"/>
        <v>42361.03</v>
      </c>
      <c r="O18" s="388">
        <f>SUM('R 2013'!B17:M17)</f>
        <v>41500.160000000003</v>
      </c>
      <c r="P18" s="389">
        <f t="shared" si="1"/>
        <v>2.0743775445684953E-2</v>
      </c>
      <c r="S18" s="323"/>
    </row>
    <row r="19" spans="1:19">
      <c r="A19" s="37" t="s">
        <v>30</v>
      </c>
      <c r="B19" s="450">
        <v>442.78</v>
      </c>
      <c r="C19" s="450">
        <v>3846.86</v>
      </c>
      <c r="D19" s="450">
        <v>166.37</v>
      </c>
      <c r="E19" s="450">
        <v>266.26</v>
      </c>
      <c r="F19" s="450">
        <v>1259</v>
      </c>
      <c r="G19" s="450">
        <v>184.53</v>
      </c>
      <c r="H19" s="450">
        <v>1727.78</v>
      </c>
      <c r="I19" s="450">
        <v>7407.88</v>
      </c>
      <c r="J19" s="450">
        <v>5527.7</v>
      </c>
      <c r="K19" s="450">
        <v>7987.8</v>
      </c>
      <c r="L19" s="450">
        <v>8822.44</v>
      </c>
      <c r="M19" s="551">
        <v>637.13</v>
      </c>
      <c r="N19" s="554">
        <f t="shared" si="0"/>
        <v>38276.53</v>
      </c>
      <c r="O19" s="388">
        <f>SUM('R 2013'!B18:M18)</f>
        <v>38235.82</v>
      </c>
      <c r="P19" s="389">
        <f t="shared" si="1"/>
        <v>1.064708433087036E-3</v>
      </c>
      <c r="S19" s="399"/>
    </row>
    <row r="20" spans="1:19">
      <c r="A20" s="37" t="s">
        <v>31</v>
      </c>
      <c r="B20" s="450">
        <v>1289952.46</v>
      </c>
      <c r="C20" s="450">
        <v>1839685.52</v>
      </c>
      <c r="D20" s="450">
        <v>1461391.05</v>
      </c>
      <c r="E20" s="450">
        <v>1376374.84</v>
      </c>
      <c r="F20" s="450">
        <v>2166115</v>
      </c>
      <c r="G20" s="450">
        <v>1454429.15</v>
      </c>
      <c r="H20" s="450">
        <v>1421043.7</v>
      </c>
      <c r="I20" s="450">
        <v>2017286.2</v>
      </c>
      <c r="J20" s="450">
        <v>1417399.77</v>
      </c>
      <c r="K20" s="450">
        <v>1525475.21</v>
      </c>
      <c r="L20" s="450">
        <v>1987657</v>
      </c>
      <c r="M20" s="551">
        <v>1436790.18</v>
      </c>
      <c r="N20" s="554">
        <f t="shared" si="0"/>
        <v>19393600.079999998</v>
      </c>
      <c r="O20" s="388">
        <f>SUM('R 2013'!B19:M19)</f>
        <v>18616830.160000004</v>
      </c>
      <c r="P20" s="389">
        <f t="shared" si="1"/>
        <v>4.1724069743567682E-2</v>
      </c>
    </row>
    <row r="21" spans="1:19">
      <c r="A21" s="37" t="s">
        <v>45</v>
      </c>
      <c r="B21" s="450">
        <v>3014.78</v>
      </c>
      <c r="C21" s="450">
        <v>6242.89</v>
      </c>
      <c r="D21" s="450">
        <v>2327.13</v>
      </c>
      <c r="E21" s="450">
        <v>3683.63</v>
      </c>
      <c r="F21" s="450">
        <v>5621</v>
      </c>
      <c r="G21" s="450">
        <v>7165.31</v>
      </c>
      <c r="H21" s="450">
        <v>26297.85</v>
      </c>
      <c r="I21" s="450">
        <v>14232.82</v>
      </c>
      <c r="J21" s="450">
        <v>6328.98</v>
      </c>
      <c r="K21" s="450">
        <v>8494.93</v>
      </c>
      <c r="L21" s="450">
        <v>12270.1</v>
      </c>
      <c r="M21" s="551">
        <v>4906.2700000000004</v>
      </c>
      <c r="N21" s="555">
        <f t="shared" si="0"/>
        <v>100585.69000000002</v>
      </c>
      <c r="O21" s="388">
        <f>SUM('R 2013'!B20:M20)</f>
        <v>82707.86</v>
      </c>
      <c r="P21" s="389">
        <f t="shared" si="1"/>
        <v>0.2161563604716652</v>
      </c>
    </row>
    <row r="22" spans="1:19">
      <c r="A22" s="37" t="s">
        <v>32</v>
      </c>
      <c r="B22" s="450">
        <v>6586.68</v>
      </c>
      <c r="C22" s="450">
        <v>17469.759999999998</v>
      </c>
      <c r="D22" s="450">
        <v>6885.31</v>
      </c>
      <c r="E22" s="450">
        <v>5753.25</v>
      </c>
      <c r="F22" s="450">
        <v>17901</v>
      </c>
      <c r="G22" s="450">
        <v>6372.39</v>
      </c>
      <c r="H22" s="450">
        <v>5683.55</v>
      </c>
      <c r="I22" s="450">
        <v>22460.52</v>
      </c>
      <c r="J22" s="450">
        <v>6095.99</v>
      </c>
      <c r="K22" s="450">
        <v>8651.57</v>
      </c>
      <c r="L22" s="450">
        <v>21170.11</v>
      </c>
      <c r="M22" s="551">
        <v>5051.72</v>
      </c>
      <c r="N22" s="554">
        <f t="shared" si="0"/>
        <v>130081.85000000002</v>
      </c>
      <c r="O22" s="388">
        <f>SUM('R 2013'!B21:M21)</f>
        <v>116463.75999999998</v>
      </c>
      <c r="P22" s="389">
        <f t="shared" si="1"/>
        <v>0.11692985010959678</v>
      </c>
    </row>
    <row r="23" spans="1:19">
      <c r="A23" s="37" t="s">
        <v>33</v>
      </c>
      <c r="B23" s="450">
        <v>12212.18</v>
      </c>
      <c r="C23" s="450">
        <v>25059.86</v>
      </c>
      <c r="D23" s="450">
        <v>12285.02</v>
      </c>
      <c r="E23" s="450">
        <v>14321.39</v>
      </c>
      <c r="F23" s="450">
        <v>28135</v>
      </c>
      <c r="G23" s="450">
        <v>13196.07</v>
      </c>
      <c r="H23" s="450">
        <v>13563.35</v>
      </c>
      <c r="I23" s="450">
        <v>33369.31</v>
      </c>
      <c r="J23" s="450">
        <v>22756.99</v>
      </c>
      <c r="K23" s="450">
        <v>15449.4</v>
      </c>
      <c r="L23" s="450">
        <v>29778.880000000001</v>
      </c>
      <c r="M23" s="551">
        <v>15247.89</v>
      </c>
      <c r="N23" s="554">
        <f t="shared" si="0"/>
        <v>235375.33999999997</v>
      </c>
      <c r="O23" s="388">
        <f>SUM('R 2013'!B22:M22)</f>
        <v>225252.59000000003</v>
      </c>
      <c r="P23" s="389">
        <f t="shared" si="1"/>
        <v>4.4939549862667239E-2</v>
      </c>
    </row>
    <row r="24" spans="1:19">
      <c r="A24" s="37" t="s">
        <v>34</v>
      </c>
      <c r="B24" s="450">
        <v>93208.44</v>
      </c>
      <c r="C24" s="450">
        <v>237069.07</v>
      </c>
      <c r="D24" s="450">
        <v>332465.46999999997</v>
      </c>
      <c r="E24" s="450">
        <v>360981.9</v>
      </c>
      <c r="F24" s="450">
        <v>298598</v>
      </c>
      <c r="G24" s="450">
        <v>101556.42</v>
      </c>
      <c r="H24" s="450">
        <v>93664.36</v>
      </c>
      <c r="I24" s="450">
        <v>205875.4</v>
      </c>
      <c r="J24" s="450">
        <v>193338.11</v>
      </c>
      <c r="K24" s="450">
        <v>189991.48</v>
      </c>
      <c r="L24" s="450">
        <v>188685.67</v>
      </c>
      <c r="M24" s="551">
        <v>116627.04</v>
      </c>
      <c r="N24" s="555">
        <f t="shared" si="0"/>
        <v>2412061.36</v>
      </c>
      <c r="O24" s="388">
        <f>SUM('R 2013'!B23:M23)</f>
        <v>2165383.06</v>
      </c>
      <c r="P24" s="389">
        <f t="shared" si="1"/>
        <v>0.11391901255568149</v>
      </c>
    </row>
    <row r="25" spans="1:19">
      <c r="A25" s="37" t="s">
        <v>35</v>
      </c>
      <c r="B25" s="450">
        <v>33206.81</v>
      </c>
      <c r="C25" s="450">
        <v>44885.34</v>
      </c>
      <c r="D25" s="450">
        <v>30993.59</v>
      </c>
      <c r="E25" s="450">
        <v>28449.18</v>
      </c>
      <c r="F25" s="450">
        <v>57618</v>
      </c>
      <c r="G25" s="450">
        <v>31489.77</v>
      </c>
      <c r="H25" s="450">
        <v>36659.980000000003</v>
      </c>
      <c r="I25" s="450">
        <v>53975.199999999997</v>
      </c>
      <c r="J25" s="450">
        <v>36594.83</v>
      </c>
      <c r="K25" s="450">
        <v>35714.1</v>
      </c>
      <c r="L25" s="450">
        <v>51751.18</v>
      </c>
      <c r="M25" s="551">
        <v>33807.589999999997</v>
      </c>
      <c r="N25" s="554">
        <f t="shared" si="0"/>
        <v>475145.56999999995</v>
      </c>
      <c r="O25" s="388">
        <f>SUM('R 2013'!B24:M24)</f>
        <v>455251.87999999995</v>
      </c>
      <c r="P25" s="389">
        <f t="shared" si="1"/>
        <v>4.3698205046402094E-2</v>
      </c>
    </row>
    <row r="26" spans="1:19">
      <c r="A26" s="37" t="s">
        <v>36</v>
      </c>
      <c r="B26" s="450">
        <v>25657.279999999999</v>
      </c>
      <c r="C26" s="450">
        <v>51026.400000000001</v>
      </c>
      <c r="D26" s="450">
        <v>30028.91</v>
      </c>
      <c r="E26" s="450">
        <v>17996.25</v>
      </c>
      <c r="F26" s="450">
        <v>50627</v>
      </c>
      <c r="G26" s="450">
        <v>31565.47</v>
      </c>
      <c r="H26" s="450">
        <v>36008.379999999997</v>
      </c>
      <c r="I26" s="450">
        <v>54577.39</v>
      </c>
      <c r="J26" s="450">
        <v>35843.24</v>
      </c>
      <c r="K26" s="450">
        <v>31252.560000000001</v>
      </c>
      <c r="L26" s="450">
        <v>47205.03</v>
      </c>
      <c r="M26" s="551">
        <v>31827.81</v>
      </c>
      <c r="N26" s="554">
        <f t="shared" si="0"/>
        <v>443615.72000000003</v>
      </c>
      <c r="O26" s="388">
        <f>SUM('R 2013'!B25:M25)</f>
        <v>439342.94999999995</v>
      </c>
      <c r="P26" s="389">
        <f t="shared" si="1"/>
        <v>9.7253637505736457E-3</v>
      </c>
    </row>
    <row r="27" spans="1:19">
      <c r="A27" s="37" t="s">
        <v>37</v>
      </c>
      <c r="B27" s="450">
        <v>406478.5</v>
      </c>
      <c r="C27" s="450">
        <v>571471.16</v>
      </c>
      <c r="D27" s="450">
        <v>439207.52</v>
      </c>
      <c r="E27" s="450">
        <v>375156.29</v>
      </c>
      <c r="F27" s="450">
        <v>655425</v>
      </c>
      <c r="G27" s="450">
        <v>435110.67</v>
      </c>
      <c r="H27" s="450">
        <v>451891.75</v>
      </c>
      <c r="I27" s="450">
        <v>633513.1</v>
      </c>
      <c r="J27" s="450">
        <v>493323.98</v>
      </c>
      <c r="K27" s="450">
        <v>491127.89</v>
      </c>
      <c r="L27" s="450">
        <v>628951.91</v>
      </c>
      <c r="M27" s="551">
        <v>480930.14</v>
      </c>
      <c r="N27" s="554">
        <f t="shared" si="0"/>
        <v>6062587.9100000001</v>
      </c>
      <c r="O27" s="388">
        <f>SUM('R 2013'!B26:M26)</f>
        <v>5619283.3400000008</v>
      </c>
      <c r="P27" s="389">
        <f t="shared" si="1"/>
        <v>7.8889876729369535E-2</v>
      </c>
    </row>
    <row r="28" spans="1:19">
      <c r="A28" s="37" t="s">
        <v>38</v>
      </c>
      <c r="B28" s="450">
        <v>20519.98</v>
      </c>
      <c r="C28" s="450">
        <v>41263.29</v>
      </c>
      <c r="D28" s="450">
        <v>46714.63</v>
      </c>
      <c r="E28" s="450">
        <v>34719.919999999998</v>
      </c>
      <c r="F28" s="450">
        <v>47704</v>
      </c>
      <c r="G28" s="450">
        <v>26243.31</v>
      </c>
      <c r="H28" s="450">
        <v>25219.23</v>
      </c>
      <c r="I28" s="450">
        <v>49784.5</v>
      </c>
      <c r="J28" s="450">
        <v>44237.22</v>
      </c>
      <c r="K28" s="450">
        <v>40834.959999999999</v>
      </c>
      <c r="L28" s="450">
        <v>52339.19</v>
      </c>
      <c r="M28" s="551">
        <v>26045.42</v>
      </c>
      <c r="N28" s="555">
        <f t="shared" si="0"/>
        <v>455625.64999999997</v>
      </c>
      <c r="O28" s="388">
        <f>SUM('R 2013'!B27:M27)</f>
        <v>451966.62000000005</v>
      </c>
      <c r="P28" s="389">
        <f t="shared" si="1"/>
        <v>8.0957969860693257E-3</v>
      </c>
    </row>
    <row r="29" spans="1:19">
      <c r="A29" s="37" t="s">
        <v>39</v>
      </c>
      <c r="B29" s="450">
        <v>154015.76</v>
      </c>
      <c r="C29" s="450">
        <v>195851.59</v>
      </c>
      <c r="D29" s="450">
        <v>154162.74</v>
      </c>
      <c r="E29" s="450">
        <v>152123.76999999999</v>
      </c>
      <c r="F29" s="450">
        <v>268715</v>
      </c>
      <c r="G29" s="450">
        <v>189261.1</v>
      </c>
      <c r="H29" s="450">
        <v>188925.6</v>
      </c>
      <c r="I29" s="450">
        <v>275077.98</v>
      </c>
      <c r="J29" s="450">
        <v>175763.79</v>
      </c>
      <c r="K29" s="450">
        <v>173973.96</v>
      </c>
      <c r="L29" s="450">
        <v>279641.21000000002</v>
      </c>
      <c r="M29" s="551">
        <v>173530.39</v>
      </c>
      <c r="N29" s="555">
        <f t="shared" si="0"/>
        <v>2381042.89</v>
      </c>
      <c r="O29" s="388">
        <f>SUM('R 2013'!B28:M28)</f>
        <v>2194988.04</v>
      </c>
      <c r="P29" s="389">
        <f t="shared" si="1"/>
        <v>8.4763491467588992E-2</v>
      </c>
    </row>
    <row r="30" spans="1:19">
      <c r="A30" s="37" t="s">
        <v>40</v>
      </c>
      <c r="B30" s="449">
        <v>4004.95</v>
      </c>
      <c r="C30" s="449">
        <v>5324.78</v>
      </c>
      <c r="D30" s="449">
        <v>1135.5899999999999</v>
      </c>
      <c r="E30" s="449">
        <v>315.88</v>
      </c>
      <c r="F30" s="449">
        <v>3742</v>
      </c>
      <c r="G30" s="449">
        <v>2131.7399999999998</v>
      </c>
      <c r="H30" s="449">
        <v>2610.58</v>
      </c>
      <c r="I30" s="449">
        <v>14125.82</v>
      </c>
      <c r="J30" s="449">
        <v>3162.89</v>
      </c>
      <c r="K30" s="449">
        <v>5581.07</v>
      </c>
      <c r="L30" s="449">
        <v>11164.21</v>
      </c>
      <c r="M30" s="550">
        <v>4523.2</v>
      </c>
      <c r="N30" s="554">
        <f t="shared" si="0"/>
        <v>57822.709999999992</v>
      </c>
      <c r="O30" s="388">
        <f>SUM('R 2013'!B29:M29)</f>
        <v>40788.370000000003</v>
      </c>
      <c r="P30" s="389">
        <f t="shared" si="1"/>
        <v>0.4176273776078816</v>
      </c>
    </row>
    <row r="31" spans="1:19" ht="11" thickBot="1">
      <c r="A31" s="38" t="s">
        <v>41</v>
      </c>
      <c r="B31" s="449">
        <v>180022.69</v>
      </c>
      <c r="C31" s="449">
        <v>283325.92</v>
      </c>
      <c r="D31" s="449">
        <v>203439.25</v>
      </c>
      <c r="E31" s="449">
        <v>197983.67</v>
      </c>
      <c r="F31" s="449">
        <v>316233</v>
      </c>
      <c r="G31" s="449">
        <v>199504.17</v>
      </c>
      <c r="H31" s="449">
        <v>211061.6</v>
      </c>
      <c r="I31" s="449">
        <v>311057.53000000003</v>
      </c>
      <c r="J31" s="449">
        <v>223687.67</v>
      </c>
      <c r="K31" s="449">
        <v>225596.61</v>
      </c>
      <c r="L31" s="449">
        <v>291838.62</v>
      </c>
      <c r="M31" s="550">
        <v>207752.77</v>
      </c>
      <c r="N31" s="556">
        <f t="shared" si="0"/>
        <v>2851503.5</v>
      </c>
      <c r="O31" s="388">
        <f>SUM('R 2013'!B30:M30)</f>
        <v>2696169.79</v>
      </c>
      <c r="P31" s="447">
        <f t="shared" si="1"/>
        <v>5.7612732913233877E-2</v>
      </c>
    </row>
    <row r="32" spans="1:19" ht="12" thickTop="1" thickBot="1">
      <c r="A32" s="137" t="s">
        <v>0</v>
      </c>
      <c r="B32" s="451">
        <f t="shared" ref="B32:O32" si="2">SUM(B4:B31)</f>
        <v>2682831.4300000002</v>
      </c>
      <c r="C32" s="452">
        <f t="shared" si="2"/>
        <v>3972286.1929999995</v>
      </c>
      <c r="D32" s="452">
        <f t="shared" si="2"/>
        <v>3186170.6599999992</v>
      </c>
      <c r="E32" s="452">
        <f t="shared" si="2"/>
        <v>3013788.25</v>
      </c>
      <c r="F32" s="452">
        <f t="shared" si="2"/>
        <v>4687324</v>
      </c>
      <c r="G32" s="452">
        <f t="shared" si="2"/>
        <v>3048080.9800000004</v>
      </c>
      <c r="H32" s="452">
        <f t="shared" si="2"/>
        <v>3118104.2700000005</v>
      </c>
      <c r="I32" s="452">
        <f t="shared" si="2"/>
        <v>4564067.7600000007</v>
      </c>
      <c r="J32" s="452">
        <f t="shared" si="2"/>
        <v>3300940.7700000005</v>
      </c>
      <c r="K32" s="452">
        <f t="shared" si="2"/>
        <v>3372992.7199999997</v>
      </c>
      <c r="L32" s="452">
        <f t="shared" si="2"/>
        <v>4466520.5699999994</v>
      </c>
      <c r="M32" s="552">
        <f t="shared" si="2"/>
        <v>3091258.48</v>
      </c>
      <c r="N32" s="557">
        <f t="shared" si="2"/>
        <v>42504366.083000004</v>
      </c>
      <c r="O32" s="453">
        <f t="shared" si="2"/>
        <v>40160430.959999993</v>
      </c>
      <c r="P32" s="448">
        <f>N32/O32-1</f>
        <v>5.8364292089758241E-2</v>
      </c>
    </row>
    <row r="33" spans="1:16" ht="13" thickBot="1">
      <c r="A33" s="537"/>
      <c r="B33" s="538">
        <f>B32/'R 2013'!B31-1</f>
        <v>6.309091740840822E-3</v>
      </c>
      <c r="C33" s="538">
        <f>C32/'R 2013'!C31-1</f>
        <v>-9.5281837350402743E-4</v>
      </c>
      <c r="D33" s="538">
        <f>D32/'R 2013'!D31-1</f>
        <v>8.8740162434543191E-2</v>
      </c>
      <c r="E33" s="538">
        <f>E32/'R 2013'!E31-1</f>
        <v>9.5979707982781326E-2</v>
      </c>
      <c r="F33" s="538">
        <f>F32/'R 2013'!F31-1</f>
        <v>7.0439661731015013E-2</v>
      </c>
      <c r="G33" s="538">
        <f>G32/'R 2013'!G31-1</f>
        <v>6.2996844751374459E-2</v>
      </c>
      <c r="H33" s="538">
        <f>H32/'R 2013'!H31-1</f>
        <v>5.8075984383687329E-2</v>
      </c>
      <c r="I33" s="538">
        <f>I32/'R 2013'!I31-1</f>
        <v>5.7870051809227885E-2</v>
      </c>
      <c r="J33" s="538">
        <f>J32/'R 2013'!J31-1</f>
        <v>1.414742922332124E-2</v>
      </c>
      <c r="K33" s="538">
        <f>K32/'R 2013'!K31-1</f>
        <v>5.7080035086859215E-2</v>
      </c>
      <c r="L33" s="538">
        <f>L32/'R 2013'!L31-1</f>
        <v>0.12719793310226524</v>
      </c>
      <c r="M33" s="538">
        <f>M32/'R 2013'!M31-1</f>
        <v>5.6445482055323515E-2</v>
      </c>
      <c r="N33" s="569"/>
      <c r="O33" s="570"/>
      <c r="P33" s="571"/>
    </row>
    <row r="34" spans="1:16">
      <c r="N34" s="323"/>
      <c r="O34" s="323"/>
    </row>
    <row r="35" spans="1:16">
      <c r="C35" s="323"/>
      <c r="N35" s="323"/>
    </row>
    <row r="36" spans="1:16">
      <c r="C36" s="400"/>
      <c r="I36" s="401"/>
      <c r="N36" s="323"/>
    </row>
    <row r="37" spans="1:16">
      <c r="I37" s="401"/>
      <c r="N37" s="323"/>
    </row>
    <row r="38" spans="1:16">
      <c r="A38" s="287"/>
      <c r="F38" s="323"/>
      <c r="N38" s="323"/>
    </row>
    <row r="41" spans="1:16">
      <c r="P41" s="73"/>
    </row>
    <row r="42" spans="1:16">
      <c r="P42" s="229"/>
    </row>
    <row r="43" spans="1:16">
      <c r="N43" s="323"/>
      <c r="P43" s="73"/>
    </row>
  </sheetData>
  <mergeCells count="1">
    <mergeCell ref="A1:P1"/>
  </mergeCells>
  <printOptions horizontalCentered="1"/>
  <pageMargins left="0" right="0" top="1" bottom="1" header="0.5" footer="0.5"/>
  <pageSetup scale="80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rgb="FFFFFF00"/>
    <pageSetUpPr fitToPage="1"/>
  </sheetPr>
  <dimension ref="A1:T42"/>
  <sheetViews>
    <sheetView workbookViewId="0">
      <pane xSplit="1" ySplit="3" topLeftCell="B4" activePane="bottomRight" state="frozen"/>
      <selection activeCell="H31" sqref="H31"/>
      <selection pane="topRight" activeCell="H31" sqref="H31"/>
      <selection pane="bottomLeft" activeCell="H31" sqref="H31"/>
      <selection pane="bottomRight" activeCell="J44" sqref="J44"/>
    </sheetView>
  </sheetViews>
  <sheetFormatPr baseColWidth="10" defaultColWidth="8.83203125" defaultRowHeight="12" x14ac:dyDescent="0"/>
  <cols>
    <col min="1" max="1" width="11.33203125" bestFit="1" customWidth="1"/>
    <col min="2" max="2" width="9.5" bestFit="1" customWidth="1"/>
    <col min="6" max="6" width="11.1640625" bestFit="1" customWidth="1"/>
    <col min="11" max="11" width="10.33203125" bestFit="1" customWidth="1"/>
    <col min="14" max="15" width="9.5" bestFit="1" customWidth="1"/>
    <col min="17" max="17" width="0" hidden="1" customWidth="1"/>
    <col min="20" max="20" width="10.1640625" bestFit="1" customWidth="1"/>
  </cols>
  <sheetData>
    <row r="1" spans="1:20" ht="21">
      <c r="A1" s="691" t="s">
        <v>125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20" ht="13" thickBo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0" ht="13" thickBot="1">
      <c r="A3" s="129" t="s">
        <v>42</v>
      </c>
      <c r="B3" s="130" t="s">
        <v>2</v>
      </c>
      <c r="C3" s="131" t="s">
        <v>3</v>
      </c>
      <c r="D3" s="131" t="s">
        <v>4</v>
      </c>
      <c r="E3" s="131" t="s">
        <v>5</v>
      </c>
      <c r="F3" s="131" t="s">
        <v>6</v>
      </c>
      <c r="G3" s="131" t="s">
        <v>7</v>
      </c>
      <c r="H3" s="131" t="s">
        <v>8</v>
      </c>
      <c r="I3" s="131" t="s">
        <v>9</v>
      </c>
      <c r="J3" s="131" t="s">
        <v>10</v>
      </c>
      <c r="K3" s="131" t="s">
        <v>11</v>
      </c>
      <c r="L3" s="131" t="s">
        <v>12</v>
      </c>
      <c r="M3" s="132" t="s">
        <v>13</v>
      </c>
      <c r="N3" s="25" t="s">
        <v>127</v>
      </c>
      <c r="O3" s="131" t="s">
        <v>119</v>
      </c>
      <c r="P3" s="135" t="s">
        <v>16</v>
      </c>
      <c r="Q3" s="136" t="s">
        <v>42</v>
      </c>
    </row>
    <row r="4" spans="1:20">
      <c r="A4" s="37" t="s">
        <v>17</v>
      </c>
      <c r="B4" s="9">
        <v>4304.2</v>
      </c>
      <c r="C4" s="9">
        <v>10716.09</v>
      </c>
      <c r="D4" s="9">
        <v>4059.14</v>
      </c>
      <c r="E4" s="9">
        <v>3947.76</v>
      </c>
      <c r="F4" s="9">
        <v>12712.49</v>
      </c>
      <c r="G4" s="9">
        <v>3501.09</v>
      </c>
      <c r="H4" s="9">
        <v>5526.42</v>
      </c>
      <c r="I4" s="9">
        <v>14896.48</v>
      </c>
      <c r="J4" s="9">
        <v>7667.3</v>
      </c>
      <c r="K4" s="9">
        <v>5983.36</v>
      </c>
      <c r="L4" s="9">
        <v>13655.85</v>
      </c>
      <c r="M4" s="9">
        <v>5131.8</v>
      </c>
      <c r="N4" s="109">
        <f t="shared" ref="N4:N30" si="0">SUM(B4:M4)</f>
        <v>92101.98000000001</v>
      </c>
      <c r="O4" s="19">
        <f>SUM('R 2012'!B4:M4)</f>
        <v>89054.12000000001</v>
      </c>
      <c r="P4" s="77">
        <f t="shared" ref="P4:P31" si="1">N4/O4-1</f>
        <v>3.4224806218959847E-2</v>
      </c>
      <c r="Q4" s="37" t="s">
        <v>17</v>
      </c>
    </row>
    <row r="5" spans="1:20">
      <c r="A5" s="37" t="s">
        <v>18</v>
      </c>
      <c r="B5" s="9">
        <v>25398.74</v>
      </c>
      <c r="C5" s="9">
        <v>47089.41</v>
      </c>
      <c r="D5" s="9">
        <v>25529.94</v>
      </c>
      <c r="E5" s="9">
        <v>24417.73</v>
      </c>
      <c r="F5" s="9">
        <v>46164.39</v>
      </c>
      <c r="G5" s="9">
        <v>32729.360000000001</v>
      </c>
      <c r="H5" s="9">
        <v>24211.86</v>
      </c>
      <c r="I5" s="9">
        <v>63402.9</v>
      </c>
      <c r="J5" s="9">
        <v>32473.82</v>
      </c>
      <c r="K5" s="9">
        <v>40669.5</v>
      </c>
      <c r="L5" s="9">
        <v>46137.83</v>
      </c>
      <c r="M5" s="9">
        <v>32312.75</v>
      </c>
      <c r="N5" s="107">
        <f t="shared" si="0"/>
        <v>440538.23000000004</v>
      </c>
      <c r="O5" s="19">
        <f>SUM('R 2012'!B5:M5)</f>
        <v>430846.23000000004</v>
      </c>
      <c r="P5" s="77">
        <f t="shared" si="1"/>
        <v>2.2495264725886033E-2</v>
      </c>
      <c r="Q5" s="37" t="s">
        <v>18</v>
      </c>
    </row>
    <row r="6" spans="1:20">
      <c r="A6" s="37" t="s">
        <v>19</v>
      </c>
      <c r="B6" s="9">
        <v>82521.27</v>
      </c>
      <c r="C6" s="9">
        <v>123786.24000000001</v>
      </c>
      <c r="D6" s="9">
        <v>78739.149999999994</v>
      </c>
      <c r="E6" s="9">
        <v>74298.02</v>
      </c>
      <c r="F6" s="9">
        <v>113419.46</v>
      </c>
      <c r="G6" s="9">
        <v>73470.44</v>
      </c>
      <c r="H6" s="9">
        <v>90611.72</v>
      </c>
      <c r="I6" s="9">
        <v>119007.17</v>
      </c>
      <c r="J6" s="9">
        <v>88919.31</v>
      </c>
      <c r="K6" s="9">
        <v>90091.01</v>
      </c>
      <c r="L6" s="9">
        <v>112075.65</v>
      </c>
      <c r="M6" s="9">
        <v>89474.86</v>
      </c>
      <c r="N6" s="107">
        <f t="shared" si="0"/>
        <v>1136414.3</v>
      </c>
      <c r="O6" s="19">
        <f>SUM('R 2012'!B6:M6)</f>
        <v>1120298.1199999999</v>
      </c>
      <c r="P6" s="77">
        <f t="shared" si="1"/>
        <v>1.4385617285513463E-2</v>
      </c>
      <c r="Q6" s="37" t="s">
        <v>19</v>
      </c>
    </row>
    <row r="7" spans="1:20">
      <c r="A7" s="37" t="s">
        <v>20</v>
      </c>
      <c r="B7" s="9">
        <v>12293.87</v>
      </c>
      <c r="C7" s="9">
        <v>28212.639999999999</v>
      </c>
      <c r="D7" s="9">
        <v>12081.33</v>
      </c>
      <c r="E7" s="9">
        <v>11921.63</v>
      </c>
      <c r="F7" s="9">
        <v>25682.37</v>
      </c>
      <c r="G7" s="9">
        <v>15587.08</v>
      </c>
      <c r="H7" s="9">
        <v>12736.88</v>
      </c>
      <c r="I7" s="9">
        <v>29695.98</v>
      </c>
      <c r="J7" s="9">
        <v>16550.95</v>
      </c>
      <c r="K7" s="9">
        <v>13360.09</v>
      </c>
      <c r="L7" s="9">
        <v>27633.31</v>
      </c>
      <c r="M7" s="9">
        <v>15135.19</v>
      </c>
      <c r="N7" s="107">
        <f t="shared" si="0"/>
        <v>220891.32</v>
      </c>
      <c r="O7" s="19">
        <f>SUM('R 2012'!B7:M7)</f>
        <v>228234.91000000003</v>
      </c>
      <c r="P7" s="77">
        <f t="shared" si="1"/>
        <v>-3.2175577347041351E-2</v>
      </c>
      <c r="Q7" s="37" t="s">
        <v>20</v>
      </c>
    </row>
    <row r="8" spans="1:20">
      <c r="A8" s="37" t="s">
        <v>21</v>
      </c>
      <c r="B8" s="9">
        <v>281.66000000000003</v>
      </c>
      <c r="C8" s="9">
        <v>272.39</v>
      </c>
      <c r="D8" s="9">
        <v>336.06</v>
      </c>
      <c r="E8" s="9">
        <v>224.74</v>
      </c>
      <c r="F8" s="9">
        <v>401.13</v>
      </c>
      <c r="G8" s="9">
        <v>753.18</v>
      </c>
      <c r="H8" s="9">
        <v>1629.03</v>
      </c>
      <c r="I8" s="9">
        <v>2768</v>
      </c>
      <c r="J8" s="9">
        <v>2553.75</v>
      </c>
      <c r="K8" s="9">
        <v>2477.61</v>
      </c>
      <c r="L8" s="9">
        <v>3154.4</v>
      </c>
      <c r="M8" s="9">
        <v>703.53</v>
      </c>
      <c r="N8" s="107">
        <f t="shared" si="0"/>
        <v>15555.48</v>
      </c>
      <c r="O8" s="19">
        <f>SUM('R 2012'!B8:M8)</f>
        <v>16252.18</v>
      </c>
      <c r="P8" s="77">
        <f t="shared" si="1"/>
        <v>-4.2868095233993264E-2</v>
      </c>
      <c r="Q8" s="37" t="s">
        <v>21</v>
      </c>
    </row>
    <row r="9" spans="1:20">
      <c r="A9" s="37" t="s">
        <v>22</v>
      </c>
      <c r="B9" s="9">
        <v>237132.93</v>
      </c>
      <c r="C9" s="9">
        <v>333350.56</v>
      </c>
      <c r="D9" s="9">
        <v>234349.71</v>
      </c>
      <c r="E9" s="9">
        <v>204179.12</v>
      </c>
      <c r="F9" s="9">
        <v>362191.95</v>
      </c>
      <c r="G9" s="9">
        <v>239593.27</v>
      </c>
      <c r="H9" s="9">
        <v>280881.90999999997</v>
      </c>
      <c r="I9" s="9">
        <v>353331.06</v>
      </c>
      <c r="J9" s="9">
        <v>292684.15000000002</v>
      </c>
      <c r="K9" s="9">
        <v>292067.09999999998</v>
      </c>
      <c r="L9" s="9">
        <v>314782.51</v>
      </c>
      <c r="M9" s="9">
        <v>268388.94</v>
      </c>
      <c r="N9" s="107">
        <f t="shared" si="0"/>
        <v>3412933.2099999995</v>
      </c>
      <c r="O9" s="19">
        <f>SUM('R 2012'!B9:M9)</f>
        <v>3246035.1700000004</v>
      </c>
      <c r="P9" s="77">
        <f t="shared" si="1"/>
        <v>5.1415967868271517E-2</v>
      </c>
      <c r="Q9" s="37" t="s">
        <v>22</v>
      </c>
    </row>
    <row r="10" spans="1:20">
      <c r="A10" s="37" t="s">
        <v>23</v>
      </c>
      <c r="B10" s="9">
        <v>8827.3799999999992</v>
      </c>
      <c r="C10" s="9">
        <v>17723.89</v>
      </c>
      <c r="D10" s="9">
        <v>12709.18</v>
      </c>
      <c r="E10" s="9">
        <v>8801.84</v>
      </c>
      <c r="F10" s="9">
        <v>15624.66</v>
      </c>
      <c r="G10" s="9">
        <v>11129.19</v>
      </c>
      <c r="H10" s="9">
        <v>13560.32</v>
      </c>
      <c r="I10" s="9">
        <v>21482.61</v>
      </c>
      <c r="J10" s="9">
        <v>10280.32</v>
      </c>
      <c r="K10" s="9">
        <v>37854.65</v>
      </c>
      <c r="L10" s="9">
        <v>23170.13</v>
      </c>
      <c r="M10" s="9">
        <v>10618.15</v>
      </c>
      <c r="N10" s="107">
        <f t="shared" si="0"/>
        <v>191782.31999999998</v>
      </c>
      <c r="O10" s="19">
        <f>SUM('R 2012'!B10:M10)</f>
        <v>153753.84</v>
      </c>
      <c r="P10" s="77">
        <f t="shared" si="1"/>
        <v>0.24733353001134795</v>
      </c>
      <c r="Q10" s="37" t="s">
        <v>23</v>
      </c>
    </row>
    <row r="11" spans="1:20">
      <c r="A11" s="37" t="s">
        <v>51</v>
      </c>
      <c r="B11" s="9">
        <v>2890.01</v>
      </c>
      <c r="C11" s="9">
        <v>3377.95</v>
      </c>
      <c r="D11" s="9">
        <v>2631.07</v>
      </c>
      <c r="E11" s="9">
        <v>2292.69</v>
      </c>
      <c r="F11" s="9">
        <v>5587.32</v>
      </c>
      <c r="G11" s="9">
        <v>1557.7</v>
      </c>
      <c r="H11" s="9">
        <v>3768.05</v>
      </c>
      <c r="I11" s="9">
        <v>7109.6</v>
      </c>
      <c r="J11" s="9">
        <v>3413.38</v>
      </c>
      <c r="K11" s="9">
        <v>4097.84</v>
      </c>
      <c r="L11" s="9">
        <v>5983.09</v>
      </c>
      <c r="M11" s="9">
        <v>3011.56</v>
      </c>
      <c r="N11" s="107">
        <f t="shared" si="0"/>
        <v>45720.259999999995</v>
      </c>
      <c r="O11" s="19">
        <f>SUM('R 2012'!B11:M11)</f>
        <v>45159.01999999999</v>
      </c>
      <c r="P11" s="77">
        <f t="shared" si="1"/>
        <v>1.2428081920289769E-2</v>
      </c>
      <c r="Q11" s="37" t="s">
        <v>51</v>
      </c>
    </row>
    <row r="12" spans="1:20">
      <c r="A12" s="37" t="s">
        <v>24</v>
      </c>
      <c r="B12" s="9">
        <v>4735.25</v>
      </c>
      <c r="C12" s="9">
        <v>6334.51</v>
      </c>
      <c r="D12" s="9">
        <v>3125.79</v>
      </c>
      <c r="E12" s="9">
        <v>2017.62</v>
      </c>
      <c r="F12" s="9">
        <v>9723.4500000000007</v>
      </c>
      <c r="G12" s="9">
        <v>13172.25</v>
      </c>
      <c r="H12" s="9">
        <v>23634.41</v>
      </c>
      <c r="I12" s="9">
        <v>33744.480000000003</v>
      </c>
      <c r="J12" s="9">
        <v>25348.5</v>
      </c>
      <c r="K12" s="9">
        <v>27685.63</v>
      </c>
      <c r="L12" s="9">
        <v>34877.94</v>
      </c>
      <c r="M12" s="9">
        <v>15738.54</v>
      </c>
      <c r="N12" s="107">
        <f t="shared" si="0"/>
        <v>200138.37000000002</v>
      </c>
      <c r="O12" s="19">
        <f>SUM('R 2012'!B12:M12)</f>
        <v>181652.02000000002</v>
      </c>
      <c r="P12" s="77">
        <f t="shared" si="1"/>
        <v>0.10176792969326742</v>
      </c>
      <c r="Q12" s="37" t="s">
        <v>24</v>
      </c>
    </row>
    <row r="13" spans="1:20">
      <c r="A13" s="37" t="s">
        <v>25</v>
      </c>
      <c r="B13" s="199">
        <v>19093.86</v>
      </c>
      <c r="C13" s="199">
        <v>23032.51</v>
      </c>
      <c r="D13" s="199">
        <v>9581.24</v>
      </c>
      <c r="E13" s="199">
        <v>12931.82</v>
      </c>
      <c r="F13" s="199">
        <v>38990.17</v>
      </c>
      <c r="G13" s="199">
        <v>32700.18</v>
      </c>
      <c r="H13" s="199">
        <v>45054.99</v>
      </c>
      <c r="I13" s="199">
        <v>61759.77</v>
      </c>
      <c r="J13" s="199">
        <v>43198.92</v>
      </c>
      <c r="K13" s="199">
        <v>45585.85</v>
      </c>
      <c r="L13" s="199">
        <v>52163.1</v>
      </c>
      <c r="M13" s="199">
        <v>25094.59</v>
      </c>
      <c r="N13" s="198">
        <f t="shared" si="0"/>
        <v>409186.99999999994</v>
      </c>
      <c r="O13" s="19">
        <f>SUM('R 2012'!B13:M13)</f>
        <v>383994.95</v>
      </c>
      <c r="P13" s="77">
        <f t="shared" si="1"/>
        <v>6.5605159651187961E-2</v>
      </c>
      <c r="Q13" s="37" t="s">
        <v>25</v>
      </c>
    </row>
    <row r="14" spans="1:20">
      <c r="A14" s="37" t="s">
        <v>26</v>
      </c>
      <c r="B14" s="199">
        <v>35192.53</v>
      </c>
      <c r="C14" s="199">
        <v>52175.88</v>
      </c>
      <c r="D14" s="199">
        <v>35865.370000000003</v>
      </c>
      <c r="E14" s="199">
        <v>37310.28</v>
      </c>
      <c r="F14" s="199">
        <v>59110.32</v>
      </c>
      <c r="G14" s="199">
        <v>36437.33</v>
      </c>
      <c r="H14" s="199">
        <v>38689.949999999997</v>
      </c>
      <c r="I14" s="199">
        <v>62879.18</v>
      </c>
      <c r="J14" s="199">
        <v>45007.55</v>
      </c>
      <c r="K14" s="199">
        <v>50026.25</v>
      </c>
      <c r="L14" s="199">
        <v>55681.91</v>
      </c>
      <c r="M14" s="199">
        <v>39070.5</v>
      </c>
      <c r="N14" s="198">
        <f t="shared" si="0"/>
        <v>547447.05000000005</v>
      </c>
      <c r="O14" s="19">
        <f>SUM('R 2012'!B14:M14)</f>
        <v>521469.29000000004</v>
      </c>
      <c r="P14" s="77">
        <f t="shared" si="1"/>
        <v>4.9816471455107258E-2</v>
      </c>
      <c r="Q14" s="37" t="s">
        <v>26</v>
      </c>
    </row>
    <row r="15" spans="1:20">
      <c r="A15" s="37" t="s">
        <v>27</v>
      </c>
      <c r="B15" s="199">
        <v>5341.44</v>
      </c>
      <c r="C15" s="199">
        <v>10077.93</v>
      </c>
      <c r="D15" s="199">
        <v>4880.29</v>
      </c>
      <c r="E15" s="199">
        <v>4372.37</v>
      </c>
      <c r="F15" s="199">
        <v>11111.75</v>
      </c>
      <c r="G15" s="199">
        <v>5869.43</v>
      </c>
      <c r="H15" s="199">
        <v>4495.8</v>
      </c>
      <c r="I15" s="199">
        <v>15461.42</v>
      </c>
      <c r="J15" s="199">
        <v>10316.030000000001</v>
      </c>
      <c r="K15" s="199">
        <v>4852.41</v>
      </c>
      <c r="L15" s="199">
        <v>11818.84</v>
      </c>
      <c r="M15" s="199">
        <v>6056.99</v>
      </c>
      <c r="N15" s="107">
        <f t="shared" si="0"/>
        <v>94654.700000000012</v>
      </c>
      <c r="O15" s="19">
        <f>SUM('R 2012'!B15:M15)</f>
        <v>98317.34</v>
      </c>
      <c r="P15" s="77">
        <f t="shared" si="1"/>
        <v>-3.7253245460058038E-2</v>
      </c>
      <c r="Q15" s="37" t="s">
        <v>27</v>
      </c>
    </row>
    <row r="16" spans="1:20">
      <c r="A16" s="37" t="s">
        <v>28</v>
      </c>
      <c r="B16" s="199">
        <v>10588.87</v>
      </c>
      <c r="C16" s="199">
        <v>10560.33</v>
      </c>
      <c r="D16" s="199">
        <v>9700.27</v>
      </c>
      <c r="E16" s="199">
        <v>5885.86</v>
      </c>
      <c r="F16" s="199">
        <v>11857.97</v>
      </c>
      <c r="G16" s="199">
        <v>13040.71</v>
      </c>
      <c r="H16" s="199">
        <v>10663.59</v>
      </c>
      <c r="I16" s="199">
        <v>27745.89</v>
      </c>
      <c r="J16" s="199">
        <v>18207.12</v>
      </c>
      <c r="K16" s="199">
        <v>14352.36</v>
      </c>
      <c r="L16" s="199">
        <v>24496.34</v>
      </c>
      <c r="M16" s="199">
        <v>11803.03</v>
      </c>
      <c r="N16" s="198">
        <f t="shared" si="0"/>
        <v>168902.34</v>
      </c>
      <c r="O16" s="19">
        <f>SUM('R 2012'!B16:M16)</f>
        <v>153410.55000000002</v>
      </c>
      <c r="P16" s="77">
        <f t="shared" si="1"/>
        <v>0.10098255954365576</v>
      </c>
      <c r="Q16" s="37" t="s">
        <v>28</v>
      </c>
      <c r="T16" s="100"/>
    </row>
    <row r="17" spans="1:20">
      <c r="A17" s="37" t="s">
        <v>29</v>
      </c>
      <c r="B17" s="199">
        <v>1374.28</v>
      </c>
      <c r="C17" s="199">
        <v>5100.46</v>
      </c>
      <c r="D17" s="199">
        <v>2330.9299999999998</v>
      </c>
      <c r="E17" s="199">
        <v>1199.9100000000001</v>
      </c>
      <c r="F17" s="199">
        <v>5366.53</v>
      </c>
      <c r="G17" s="199">
        <v>1522.71</v>
      </c>
      <c r="H17" s="199">
        <v>2130.75</v>
      </c>
      <c r="I17" s="199">
        <v>7970.34</v>
      </c>
      <c r="J17" s="199">
        <v>2790.63</v>
      </c>
      <c r="K17" s="199">
        <v>2775.76</v>
      </c>
      <c r="L17" s="199">
        <v>6658.97</v>
      </c>
      <c r="M17" s="199">
        <v>2278.89</v>
      </c>
      <c r="N17" s="107">
        <f t="shared" si="0"/>
        <v>41500.160000000003</v>
      </c>
      <c r="O17" s="19">
        <f>SUM('R 2012'!B17:M17)</f>
        <v>42591.38</v>
      </c>
      <c r="P17" s="77">
        <f t="shared" si="1"/>
        <v>-2.5620677235628331E-2</v>
      </c>
      <c r="Q17" s="37" t="s">
        <v>29</v>
      </c>
      <c r="T17" s="100"/>
    </row>
    <row r="18" spans="1:20">
      <c r="A18" s="37" t="s">
        <v>30</v>
      </c>
      <c r="B18" s="199">
        <v>118.14</v>
      </c>
      <c r="C18" s="199">
        <v>1518.39</v>
      </c>
      <c r="D18" s="199">
        <v>211.22</v>
      </c>
      <c r="E18" s="199">
        <v>138.4</v>
      </c>
      <c r="F18" s="199">
        <v>3024.65</v>
      </c>
      <c r="G18" s="199">
        <v>163.99</v>
      </c>
      <c r="H18" s="199">
        <v>1593.86</v>
      </c>
      <c r="I18" s="199">
        <v>8519.36</v>
      </c>
      <c r="J18" s="199">
        <v>3398.79</v>
      </c>
      <c r="K18" s="199">
        <v>5745.43</v>
      </c>
      <c r="L18" s="199">
        <v>13550.44</v>
      </c>
      <c r="M18" s="199">
        <v>253.15</v>
      </c>
      <c r="N18" s="107">
        <f t="shared" si="0"/>
        <v>38235.82</v>
      </c>
      <c r="O18" s="19">
        <f>SUM('R 2012'!B18:M18)</f>
        <v>32608.379999999997</v>
      </c>
      <c r="P18" s="77">
        <f t="shared" si="1"/>
        <v>0.17257649720715973</v>
      </c>
      <c r="Q18" s="37" t="s">
        <v>30</v>
      </c>
      <c r="T18" s="202"/>
    </row>
    <row r="19" spans="1:20">
      <c r="A19" s="37" t="s">
        <v>31</v>
      </c>
      <c r="B19" s="199">
        <v>1299169.05</v>
      </c>
      <c r="C19" s="199">
        <v>1871882.25</v>
      </c>
      <c r="D19" s="199">
        <v>1400443.07</v>
      </c>
      <c r="E19" s="199">
        <v>1262200.57</v>
      </c>
      <c r="F19" s="199">
        <v>1988767.41</v>
      </c>
      <c r="G19" s="199">
        <v>1410793.09</v>
      </c>
      <c r="H19" s="199">
        <v>1383160.05</v>
      </c>
      <c r="I19" s="199">
        <v>1891862.49</v>
      </c>
      <c r="J19" s="199">
        <v>1474652.71</v>
      </c>
      <c r="K19" s="199">
        <v>1428314.59</v>
      </c>
      <c r="L19" s="199">
        <v>1807294.28</v>
      </c>
      <c r="M19" s="199">
        <v>1398290.6</v>
      </c>
      <c r="N19" s="107">
        <f t="shared" si="0"/>
        <v>18616830.160000004</v>
      </c>
      <c r="O19" s="19">
        <f>SUM('R 2012'!B19:M19)</f>
        <v>17369336.48</v>
      </c>
      <c r="P19" s="77">
        <f t="shared" si="1"/>
        <v>7.1821608236816381E-2</v>
      </c>
      <c r="Q19" s="37" t="s">
        <v>31</v>
      </c>
    </row>
    <row r="20" spans="1:20">
      <c r="A20" s="37" t="s">
        <v>45</v>
      </c>
      <c r="B20" s="199">
        <v>2500.0100000000002</v>
      </c>
      <c r="C20" s="199">
        <v>4267.26</v>
      </c>
      <c r="D20" s="199">
        <v>1505.09</v>
      </c>
      <c r="E20" s="199">
        <v>2912.78</v>
      </c>
      <c r="F20" s="199">
        <v>6220.72</v>
      </c>
      <c r="G20" s="199">
        <v>13595.9</v>
      </c>
      <c r="H20" s="199">
        <v>6969.42</v>
      </c>
      <c r="I20" s="199">
        <v>12804.34</v>
      </c>
      <c r="J20" s="199">
        <v>5673.93</v>
      </c>
      <c r="K20" s="199">
        <v>7353.61</v>
      </c>
      <c r="L20" s="199">
        <v>14368.38</v>
      </c>
      <c r="M20" s="199">
        <v>4536.42</v>
      </c>
      <c r="N20" s="198">
        <f t="shared" si="0"/>
        <v>82707.86</v>
      </c>
      <c r="O20" s="19">
        <f>SUM('R 2012'!B20:M20)</f>
        <v>85607.439999999988</v>
      </c>
      <c r="P20" s="77">
        <f t="shared" si="1"/>
        <v>-3.387065423285629E-2</v>
      </c>
      <c r="Q20" s="37" t="s">
        <v>45</v>
      </c>
    </row>
    <row r="21" spans="1:20">
      <c r="A21" s="37" t="s">
        <v>32</v>
      </c>
      <c r="B21" s="199">
        <v>4767.34</v>
      </c>
      <c r="C21" s="199">
        <v>18195.009999999998</v>
      </c>
      <c r="D21" s="199">
        <v>3198.08</v>
      </c>
      <c r="E21" s="199">
        <v>3427.39</v>
      </c>
      <c r="F21" s="199">
        <v>18417.88</v>
      </c>
      <c r="G21" s="199">
        <v>3401.7</v>
      </c>
      <c r="H21" s="199">
        <v>4793.08</v>
      </c>
      <c r="I21" s="199">
        <v>22763.119999999999</v>
      </c>
      <c r="J21" s="199">
        <v>5570.04</v>
      </c>
      <c r="K21" s="199">
        <v>7253.23</v>
      </c>
      <c r="L21" s="199">
        <v>19721.64</v>
      </c>
      <c r="M21" s="199">
        <v>4955.25</v>
      </c>
      <c r="N21" s="107">
        <f t="shared" si="0"/>
        <v>116463.75999999998</v>
      </c>
      <c r="O21" s="19">
        <f>SUM('R 2012'!B21:M21)</f>
        <v>118963.70000000001</v>
      </c>
      <c r="P21" s="77">
        <f t="shared" si="1"/>
        <v>-2.1014309406987453E-2</v>
      </c>
      <c r="Q21" s="37" t="s">
        <v>32</v>
      </c>
    </row>
    <row r="22" spans="1:20">
      <c r="A22" s="37" t="s">
        <v>33</v>
      </c>
      <c r="B22" s="199">
        <v>12208.15</v>
      </c>
      <c r="C22" s="199">
        <v>22575.79</v>
      </c>
      <c r="D22" s="199">
        <v>10714.42</v>
      </c>
      <c r="E22" s="199">
        <v>9483.68</v>
      </c>
      <c r="F22" s="199">
        <v>26884.07</v>
      </c>
      <c r="G22" s="199">
        <v>15795.92</v>
      </c>
      <c r="H22" s="199">
        <v>12962.08</v>
      </c>
      <c r="I22" s="199">
        <v>33160.370000000003</v>
      </c>
      <c r="J22" s="199">
        <v>20821.45</v>
      </c>
      <c r="K22" s="199">
        <v>16136.69</v>
      </c>
      <c r="L22" s="199">
        <v>31283.919999999998</v>
      </c>
      <c r="M22" s="199">
        <v>13226.05</v>
      </c>
      <c r="N22" s="107">
        <f t="shared" si="0"/>
        <v>225252.59000000003</v>
      </c>
      <c r="O22" s="19">
        <f>SUM('R 2012'!B22:M22)</f>
        <v>210623.59000000003</v>
      </c>
      <c r="P22" s="77">
        <f t="shared" si="1"/>
        <v>6.9455657839656126E-2</v>
      </c>
      <c r="Q22" s="37" t="s">
        <v>33</v>
      </c>
    </row>
    <row r="23" spans="1:20">
      <c r="A23" s="37" t="s">
        <v>34</v>
      </c>
      <c r="B23" s="199">
        <v>95732.11</v>
      </c>
      <c r="C23" s="199">
        <v>220770.97</v>
      </c>
      <c r="D23" s="199">
        <v>282646.46000000002</v>
      </c>
      <c r="E23" s="199">
        <v>285708.64</v>
      </c>
      <c r="F23" s="199">
        <v>313091.71000000002</v>
      </c>
      <c r="G23" s="199">
        <v>92368.68</v>
      </c>
      <c r="H23" s="199">
        <v>89599.28</v>
      </c>
      <c r="I23" s="199">
        <v>175870.27</v>
      </c>
      <c r="J23" s="199">
        <v>192313.76</v>
      </c>
      <c r="K23" s="199">
        <v>159265.99</v>
      </c>
      <c r="L23" s="199">
        <v>161357.82999999999</v>
      </c>
      <c r="M23" s="199">
        <v>96657.36</v>
      </c>
      <c r="N23" s="198">
        <f t="shared" si="0"/>
        <v>2165383.06</v>
      </c>
      <c r="O23" s="19">
        <f>SUM('R 2012'!B23:M23)</f>
        <v>2006181.6000000003</v>
      </c>
      <c r="P23" s="77">
        <f t="shared" si="1"/>
        <v>7.9355458149950042E-2</v>
      </c>
      <c r="Q23" s="37" t="s">
        <v>34</v>
      </c>
    </row>
    <row r="24" spans="1:20">
      <c r="A24" s="37" t="s">
        <v>35</v>
      </c>
      <c r="B24" s="199">
        <v>26723.73</v>
      </c>
      <c r="C24" s="199">
        <v>47371.27</v>
      </c>
      <c r="D24" s="199">
        <v>29649.23</v>
      </c>
      <c r="E24" s="199">
        <v>28908.16</v>
      </c>
      <c r="F24" s="199">
        <v>52494.73</v>
      </c>
      <c r="G24" s="199">
        <v>33203.11</v>
      </c>
      <c r="H24" s="199">
        <v>31905.46</v>
      </c>
      <c r="I24" s="199">
        <v>55472.46</v>
      </c>
      <c r="J24" s="199">
        <v>38688.230000000003</v>
      </c>
      <c r="K24" s="199">
        <v>30658.92</v>
      </c>
      <c r="L24" s="199">
        <v>45736.43</v>
      </c>
      <c r="M24" s="199">
        <v>34440.15</v>
      </c>
      <c r="N24" s="107">
        <f t="shared" si="0"/>
        <v>455251.87999999995</v>
      </c>
      <c r="O24" s="19">
        <f>SUM('R 2012'!B24:M24)</f>
        <v>455929.92000000004</v>
      </c>
      <c r="P24" s="77">
        <f t="shared" si="1"/>
        <v>-1.4871583773227171E-3</v>
      </c>
      <c r="Q24" s="37" t="s">
        <v>35</v>
      </c>
    </row>
    <row r="25" spans="1:20">
      <c r="A25" s="37" t="s">
        <v>36</v>
      </c>
      <c r="B25" s="199">
        <v>25341.63</v>
      </c>
      <c r="C25" s="199">
        <v>47696</v>
      </c>
      <c r="D25" s="199">
        <v>21024.32</v>
      </c>
      <c r="E25" s="199">
        <v>24427.25</v>
      </c>
      <c r="F25" s="199">
        <v>49750.28</v>
      </c>
      <c r="G25" s="199">
        <v>29671.53</v>
      </c>
      <c r="H25" s="199">
        <v>38363.800000000003</v>
      </c>
      <c r="I25" s="199">
        <v>62900.68</v>
      </c>
      <c r="J25" s="199">
        <v>28248.05</v>
      </c>
      <c r="K25" s="199">
        <v>36353.42</v>
      </c>
      <c r="L25" s="199">
        <v>41750.18</v>
      </c>
      <c r="M25" s="199">
        <v>33815.81</v>
      </c>
      <c r="N25" s="107">
        <f t="shared" si="0"/>
        <v>439342.94999999995</v>
      </c>
      <c r="O25" s="19">
        <f>SUM('R 2012'!B25:M25)</f>
        <v>415505.05</v>
      </c>
      <c r="P25" s="77">
        <f t="shared" si="1"/>
        <v>5.7370903193595169E-2</v>
      </c>
      <c r="Q25" s="37" t="s">
        <v>36</v>
      </c>
    </row>
    <row r="26" spans="1:20">
      <c r="A26" s="37" t="s">
        <v>37</v>
      </c>
      <c r="B26" s="199">
        <v>388576.14</v>
      </c>
      <c r="C26" s="199">
        <v>547279.28</v>
      </c>
      <c r="D26" s="199">
        <v>394185.17</v>
      </c>
      <c r="E26" s="199">
        <v>385213.88</v>
      </c>
      <c r="F26" s="199">
        <v>593977.55000000005</v>
      </c>
      <c r="G26" s="199">
        <v>389698.2</v>
      </c>
      <c r="H26" s="199">
        <v>425679.44</v>
      </c>
      <c r="I26" s="199">
        <v>610644.1</v>
      </c>
      <c r="J26" s="199">
        <v>463793.86</v>
      </c>
      <c r="K26" s="199">
        <v>449985.83</v>
      </c>
      <c r="L26" s="199">
        <v>544572.42000000004</v>
      </c>
      <c r="M26" s="199">
        <v>425677.47</v>
      </c>
      <c r="N26" s="107">
        <f t="shared" si="0"/>
        <v>5619283.3400000008</v>
      </c>
      <c r="O26" s="19">
        <f>SUM('R 2012'!B26:M26)</f>
        <v>5249968.9000000004</v>
      </c>
      <c r="P26" s="77">
        <f t="shared" si="1"/>
        <v>7.0346024335496526E-2</v>
      </c>
      <c r="Q26" s="37" t="s">
        <v>37</v>
      </c>
    </row>
    <row r="27" spans="1:20">
      <c r="A27" s="37" t="s">
        <v>38</v>
      </c>
      <c r="B27" s="199">
        <v>31601</v>
      </c>
      <c r="C27" s="199">
        <v>56266.8</v>
      </c>
      <c r="D27" s="199">
        <v>30293.65</v>
      </c>
      <c r="E27" s="199">
        <v>17675.599999999999</v>
      </c>
      <c r="F27" s="199">
        <v>51536.21</v>
      </c>
      <c r="G27" s="199">
        <v>19402.45</v>
      </c>
      <c r="H27" s="199">
        <v>20837.91</v>
      </c>
      <c r="I27" s="199">
        <v>66196.98</v>
      </c>
      <c r="J27" s="199">
        <v>39733.06</v>
      </c>
      <c r="K27" s="199">
        <v>49276.92</v>
      </c>
      <c r="L27" s="199">
        <v>41614.769999999997</v>
      </c>
      <c r="M27" s="199">
        <v>27531.27</v>
      </c>
      <c r="N27" s="198">
        <f t="shared" si="0"/>
        <v>451966.62000000005</v>
      </c>
      <c r="O27" s="19">
        <f>SUM('R 2012'!B27:M27)</f>
        <v>384852.62</v>
      </c>
      <c r="P27" s="77">
        <f t="shared" si="1"/>
        <v>0.17438883487398393</v>
      </c>
      <c r="Q27" s="37" t="s">
        <v>38</v>
      </c>
    </row>
    <row r="28" spans="1:20">
      <c r="A28" s="37" t="s">
        <v>39</v>
      </c>
      <c r="B28" s="199">
        <v>148194.82999999999</v>
      </c>
      <c r="C28" s="199">
        <v>183796.85</v>
      </c>
      <c r="D28" s="199">
        <v>133743.07999999999</v>
      </c>
      <c r="E28" s="199">
        <v>153180.46</v>
      </c>
      <c r="F28" s="199">
        <v>242116.3</v>
      </c>
      <c r="G28" s="199">
        <v>188476.23</v>
      </c>
      <c r="H28" s="199">
        <v>170476.27</v>
      </c>
      <c r="I28" s="199">
        <v>240532.96</v>
      </c>
      <c r="J28" s="199">
        <v>170296.42</v>
      </c>
      <c r="K28" s="199">
        <v>178103.95</v>
      </c>
      <c r="L28" s="199">
        <v>219495.58</v>
      </c>
      <c r="M28" s="199">
        <v>166575.10999999999</v>
      </c>
      <c r="N28" s="198">
        <f t="shared" si="0"/>
        <v>2194988.04</v>
      </c>
      <c r="O28" s="19">
        <f>SUM('R 2012'!B28:M28)</f>
        <v>2030410.39</v>
      </c>
      <c r="P28" s="77">
        <f t="shared" si="1"/>
        <v>8.1056347431319065E-2</v>
      </c>
      <c r="Q28" s="37" t="s">
        <v>97</v>
      </c>
    </row>
    <row r="29" spans="1:20">
      <c r="A29" s="37" t="s">
        <v>40</v>
      </c>
      <c r="B29" s="9">
        <v>760.01</v>
      </c>
      <c r="C29" s="9">
        <v>2979.21</v>
      </c>
      <c r="D29" s="9">
        <v>455.58</v>
      </c>
      <c r="E29" s="9">
        <v>172.46</v>
      </c>
      <c r="F29" s="9">
        <v>2682.99</v>
      </c>
      <c r="G29" s="9">
        <v>957.26</v>
      </c>
      <c r="H29" s="9">
        <v>3232.73</v>
      </c>
      <c r="I29" s="9">
        <v>9832.11</v>
      </c>
      <c r="J29" s="9">
        <v>4287.29</v>
      </c>
      <c r="K29" s="9">
        <v>3494.34</v>
      </c>
      <c r="L29" s="9">
        <v>10725.84</v>
      </c>
      <c r="M29" s="9">
        <v>1208.55</v>
      </c>
      <c r="N29" s="107">
        <f t="shared" si="0"/>
        <v>40788.370000000003</v>
      </c>
      <c r="O29" s="19">
        <f>SUM('R 2012'!B29:M29)</f>
        <v>49430.83</v>
      </c>
      <c r="P29" s="77">
        <f t="shared" si="1"/>
        <v>-0.17483946759542579</v>
      </c>
      <c r="Q29" s="37" t="s">
        <v>40</v>
      </c>
    </row>
    <row r="30" spans="1:20" ht="13" thickBot="1">
      <c r="A30" s="38" t="s">
        <v>41</v>
      </c>
      <c r="B30" s="9">
        <v>180342.89</v>
      </c>
      <c r="C30" s="9">
        <v>279664.8</v>
      </c>
      <c r="D30" s="9">
        <v>182485.97</v>
      </c>
      <c r="E30" s="9">
        <v>182607.05</v>
      </c>
      <c r="F30" s="9">
        <v>311968.90000000002</v>
      </c>
      <c r="G30" s="9">
        <v>188849.25</v>
      </c>
      <c r="H30" s="9">
        <v>199787.79</v>
      </c>
      <c r="I30" s="9">
        <v>302579.46000000002</v>
      </c>
      <c r="J30" s="9">
        <v>208003.09</v>
      </c>
      <c r="K30" s="9">
        <v>187036.07</v>
      </c>
      <c r="L30" s="9">
        <v>278737.32</v>
      </c>
      <c r="M30" s="9">
        <v>194107.2</v>
      </c>
      <c r="N30" s="110">
        <f t="shared" si="0"/>
        <v>2696169.79</v>
      </c>
      <c r="O30" s="19">
        <f>SUM('R 2012'!B30:M30)</f>
        <v>2562653.91</v>
      </c>
      <c r="P30" s="21">
        <f t="shared" si="1"/>
        <v>5.2100628757942635E-2</v>
      </c>
      <c r="Q30" s="38" t="s">
        <v>41</v>
      </c>
    </row>
    <row r="31" spans="1:20" ht="14" thickTop="1" thickBot="1">
      <c r="A31" s="137" t="s">
        <v>0</v>
      </c>
      <c r="B31" s="138">
        <f t="shared" ref="B31:O31" si="2">SUM(B4:B30)</f>
        <v>2666011.3199999998</v>
      </c>
      <c r="C31" s="139">
        <f t="shared" si="2"/>
        <v>3976074.6699999995</v>
      </c>
      <c r="D31" s="139">
        <f t="shared" si="2"/>
        <v>2926474.81</v>
      </c>
      <c r="E31" s="139">
        <f t="shared" si="2"/>
        <v>2749857.71</v>
      </c>
      <c r="F31" s="139">
        <f t="shared" si="2"/>
        <v>4378877.3600000003</v>
      </c>
      <c r="G31" s="139">
        <f t="shared" si="2"/>
        <v>2867441.23</v>
      </c>
      <c r="H31" s="139">
        <f t="shared" si="2"/>
        <v>2946956.85</v>
      </c>
      <c r="I31" s="139">
        <f t="shared" si="2"/>
        <v>4314393.58</v>
      </c>
      <c r="J31" s="139">
        <f t="shared" si="2"/>
        <v>3254892.4099999997</v>
      </c>
      <c r="K31" s="139">
        <f t="shared" si="2"/>
        <v>3190858.4099999997</v>
      </c>
      <c r="L31" s="139">
        <f t="shared" si="2"/>
        <v>3962498.9</v>
      </c>
      <c r="M31" s="140">
        <f t="shared" si="2"/>
        <v>2926093.71</v>
      </c>
      <c r="N31" s="24">
        <f t="shared" si="2"/>
        <v>40160430.959999993</v>
      </c>
      <c r="O31" s="127">
        <f t="shared" si="2"/>
        <v>37683141.930000007</v>
      </c>
      <c r="P31" s="113">
        <f t="shared" si="1"/>
        <v>6.5739980880622495E-2</v>
      </c>
      <c r="Q31" s="142"/>
    </row>
    <row r="32" spans="1:20">
      <c r="B32" s="28">
        <f>B31/'R 2012'!B31-1</f>
        <v>-3.5071912611136513E-3</v>
      </c>
      <c r="C32" s="28">
        <f>C31/'R 2012'!C31-1</f>
        <v>6.1685857978183378E-2</v>
      </c>
      <c r="D32" s="28">
        <f>D31/'R 2012'!D31-1</f>
        <v>0.11361155238642007</v>
      </c>
      <c r="E32" s="28">
        <f>E31/'R 2012'!E31-1</f>
        <v>1.9059348877656035E-2</v>
      </c>
      <c r="F32" s="28">
        <f>F31/'R 2012'!F31-1</f>
        <v>9.4519283765313489E-2</v>
      </c>
      <c r="G32" s="28">
        <f>G31/'R 2012'!G31-1</f>
        <v>3.0847671208424909E-2</v>
      </c>
      <c r="H32" s="28">
        <f>H31/'R 2012'!H31-1</f>
        <v>0.13130530024217024</v>
      </c>
      <c r="I32" s="28">
        <f>I31/'R 2012'!I31-1</f>
        <v>-2.8985431181276722E-2</v>
      </c>
      <c r="J32" s="28">
        <f>J31/'R 2012'!J31-1</f>
        <v>0.29413171704046381</v>
      </c>
      <c r="K32" s="28">
        <f>K31/'R 2012'!K31-1</f>
        <v>1.0183893792143905E-2</v>
      </c>
      <c r="L32" s="28">
        <f>L31/'R 2012'!L31-1</f>
        <v>5.7524677281809877E-2</v>
      </c>
      <c r="M32" s="28">
        <f>M31/'R 2012'!M31-1</f>
        <v>8.9743616863599218E-2</v>
      </c>
      <c r="N32" s="28"/>
    </row>
    <row r="33" spans="1:16">
      <c r="N33" s="100"/>
      <c r="O33" s="100"/>
    </row>
    <row r="34" spans="1:16">
      <c r="C34" s="100"/>
      <c r="N34" s="100"/>
    </row>
    <row r="35" spans="1:16">
      <c r="C35" s="117"/>
      <c r="I35" s="218"/>
      <c r="N35" s="100"/>
    </row>
    <row r="36" spans="1:16">
      <c r="I36" s="218"/>
      <c r="N36" s="100"/>
    </row>
    <row r="37" spans="1:16">
      <c r="A37" s="145"/>
      <c r="F37" s="100"/>
      <c r="N37" s="100"/>
    </row>
    <row r="39" spans="1:16">
      <c r="B39" s="1" t="s">
        <v>134</v>
      </c>
      <c r="C39" s="1" t="s">
        <v>135</v>
      </c>
      <c r="D39" s="1" t="s">
        <v>141</v>
      </c>
      <c r="E39" s="1" t="s">
        <v>142</v>
      </c>
      <c r="F39" s="1" t="s">
        <v>143</v>
      </c>
      <c r="G39" s="1" t="s">
        <v>144</v>
      </c>
      <c r="H39" s="1" t="s">
        <v>145</v>
      </c>
      <c r="I39" s="1" t="s">
        <v>146</v>
      </c>
      <c r="J39" s="1" t="s">
        <v>130</v>
      </c>
      <c r="K39" s="1" t="s">
        <v>131</v>
      </c>
      <c r="L39" s="1" t="s">
        <v>132</v>
      </c>
      <c r="M39" s="1" t="s">
        <v>133</v>
      </c>
    </row>
    <row r="40" spans="1:16">
      <c r="P40" s="228"/>
    </row>
    <row r="41" spans="1:16">
      <c r="P41" s="229"/>
    </row>
    <row r="42" spans="1:16">
      <c r="N42" s="100"/>
      <c r="P42" s="228"/>
    </row>
  </sheetData>
  <mergeCells count="1">
    <mergeCell ref="A1:P1"/>
  </mergeCells>
  <printOptions horizontalCentered="1"/>
  <pageMargins left="0" right="0" top="1" bottom="1" header="0.5" footer="0.5"/>
  <pageSetup scale="90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rgb="FFFFFF00"/>
    <pageSetUpPr fitToPage="1"/>
  </sheetPr>
  <dimension ref="A1:U42"/>
  <sheetViews>
    <sheetView workbookViewId="0">
      <pane xSplit="1" ySplit="3" topLeftCell="B4" activePane="bottomRight" state="frozen"/>
      <selection activeCell="H31" sqref="H31"/>
      <selection pane="topRight" activeCell="H31" sqref="H31"/>
      <selection pane="bottomLeft" activeCell="H31" sqref="H31"/>
      <selection pane="bottomRight" activeCell="H31" sqref="H31"/>
    </sheetView>
  </sheetViews>
  <sheetFormatPr baseColWidth="10" defaultColWidth="8.83203125" defaultRowHeight="12" x14ac:dyDescent="0"/>
  <cols>
    <col min="1" max="1" width="11.33203125" bestFit="1" customWidth="1"/>
    <col min="2" max="2" width="9.5" bestFit="1" customWidth="1"/>
    <col min="6" max="6" width="11.1640625" bestFit="1" customWidth="1"/>
    <col min="11" max="11" width="10.33203125" bestFit="1" customWidth="1"/>
    <col min="14" max="15" width="9.5" bestFit="1" customWidth="1"/>
    <col min="17" max="17" width="0" hidden="1" customWidth="1"/>
    <col min="21" max="21" width="10.1640625" bestFit="1" customWidth="1"/>
  </cols>
  <sheetData>
    <row r="1" spans="1:21" ht="21">
      <c r="A1" s="691" t="s">
        <v>120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21" ht="13" thickBo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1" ht="13" thickBot="1">
      <c r="A3" s="129" t="s">
        <v>42</v>
      </c>
      <c r="B3" s="130" t="s">
        <v>2</v>
      </c>
      <c r="C3" s="131" t="s">
        <v>3</v>
      </c>
      <c r="D3" s="131" t="s">
        <v>4</v>
      </c>
      <c r="E3" s="131" t="s">
        <v>5</v>
      </c>
      <c r="F3" s="131" t="s">
        <v>6</v>
      </c>
      <c r="G3" s="131" t="s">
        <v>7</v>
      </c>
      <c r="H3" s="131" t="s">
        <v>8</v>
      </c>
      <c r="I3" s="131" t="s">
        <v>9</v>
      </c>
      <c r="J3" s="131" t="s">
        <v>10</v>
      </c>
      <c r="K3" s="131" t="s">
        <v>11</v>
      </c>
      <c r="L3" s="131" t="s">
        <v>12</v>
      </c>
      <c r="M3" s="132" t="s">
        <v>13</v>
      </c>
      <c r="N3" s="25" t="s">
        <v>119</v>
      </c>
      <c r="O3" s="131" t="s">
        <v>112</v>
      </c>
      <c r="P3" s="135" t="s">
        <v>16</v>
      </c>
      <c r="Q3" s="136" t="s">
        <v>42</v>
      </c>
    </row>
    <row r="4" spans="1:21">
      <c r="A4" s="37" t="s">
        <v>17</v>
      </c>
      <c r="B4" s="9">
        <v>3725.62</v>
      </c>
      <c r="C4" s="9">
        <v>11754.63</v>
      </c>
      <c r="D4" s="9">
        <v>5707.47</v>
      </c>
      <c r="E4" s="9">
        <v>2141.61</v>
      </c>
      <c r="F4" s="9">
        <v>11898.16</v>
      </c>
      <c r="G4" s="9">
        <v>3445.29</v>
      </c>
      <c r="H4" s="9">
        <v>5093.6000000000004</v>
      </c>
      <c r="I4" s="9">
        <v>15409.5</v>
      </c>
      <c r="J4" s="9">
        <v>6732.05</v>
      </c>
      <c r="K4" s="9">
        <v>5544.24</v>
      </c>
      <c r="L4" s="9">
        <v>12181.31</v>
      </c>
      <c r="M4" s="9">
        <v>5420.64</v>
      </c>
      <c r="N4" s="109">
        <f t="shared" ref="N4:N30" si="0">SUM(B4:M4)</f>
        <v>89054.12000000001</v>
      </c>
      <c r="O4" s="19">
        <f>SUM('R 2011'!B4:M4)</f>
        <v>80855.3</v>
      </c>
      <c r="P4" s="77">
        <f t="shared" ref="P4:P31" si="1">N4/O4-1</f>
        <v>0.10140114500842867</v>
      </c>
      <c r="Q4" s="37" t="s">
        <v>17</v>
      </c>
    </row>
    <row r="5" spans="1:21">
      <c r="A5" s="37" t="s">
        <v>18</v>
      </c>
      <c r="B5" s="9">
        <v>25903.54</v>
      </c>
      <c r="C5" s="9">
        <v>40992.980000000003</v>
      </c>
      <c r="D5" s="9">
        <v>34643.74</v>
      </c>
      <c r="E5" s="9">
        <v>24428.98</v>
      </c>
      <c r="F5" s="9">
        <v>40442.410000000003</v>
      </c>
      <c r="G5" s="9">
        <v>25828.080000000002</v>
      </c>
      <c r="H5" s="9">
        <v>31260.48</v>
      </c>
      <c r="I5" s="9">
        <v>55829.58</v>
      </c>
      <c r="J5" s="9">
        <v>28062.69</v>
      </c>
      <c r="K5" s="9">
        <v>39556.67</v>
      </c>
      <c r="L5" s="9">
        <v>56198.13</v>
      </c>
      <c r="M5" s="9">
        <v>27698.95</v>
      </c>
      <c r="N5" s="107">
        <f t="shared" si="0"/>
        <v>430846.23000000004</v>
      </c>
      <c r="O5" s="19">
        <f>SUM('R 2011'!B5:M5)</f>
        <v>393236.70599999995</v>
      </c>
      <c r="P5" s="77">
        <f t="shared" si="1"/>
        <v>9.5640929308364431E-2</v>
      </c>
      <c r="Q5" s="37" t="s">
        <v>18</v>
      </c>
    </row>
    <row r="6" spans="1:21">
      <c r="A6" s="37" t="s">
        <v>19</v>
      </c>
      <c r="B6" s="9">
        <v>93713.29</v>
      </c>
      <c r="C6" s="9">
        <v>121791.85</v>
      </c>
      <c r="D6" s="9">
        <v>67560.36</v>
      </c>
      <c r="E6" s="9">
        <v>86641.29</v>
      </c>
      <c r="F6" s="9">
        <v>105508.86</v>
      </c>
      <c r="G6" s="9">
        <v>86224</v>
      </c>
      <c r="H6" s="9">
        <v>81940.28</v>
      </c>
      <c r="I6" s="9">
        <v>125156.88</v>
      </c>
      <c r="J6" s="9">
        <v>71721.600000000006</v>
      </c>
      <c r="K6" s="9">
        <v>92507.15</v>
      </c>
      <c r="L6" s="9">
        <v>109250.61</v>
      </c>
      <c r="M6" s="9">
        <v>78281.95</v>
      </c>
      <c r="N6" s="107">
        <f t="shared" si="0"/>
        <v>1120298.1199999999</v>
      </c>
      <c r="O6" s="19">
        <f>SUM('R 2011'!B6:M6)</f>
        <v>1030775.7899999998</v>
      </c>
      <c r="P6" s="77">
        <f t="shared" si="1"/>
        <v>8.684946898102841E-2</v>
      </c>
      <c r="Q6" s="37" t="s">
        <v>19</v>
      </c>
    </row>
    <row r="7" spans="1:21">
      <c r="A7" s="37" t="s">
        <v>20</v>
      </c>
      <c r="B7" s="9">
        <v>13712.12</v>
      </c>
      <c r="C7" s="9">
        <v>26348.49</v>
      </c>
      <c r="D7" s="9">
        <v>21442.92</v>
      </c>
      <c r="E7" s="9">
        <v>11856.32</v>
      </c>
      <c r="F7" s="9">
        <v>24695.99</v>
      </c>
      <c r="G7" s="9">
        <v>16391.55</v>
      </c>
      <c r="H7" s="9">
        <v>15262.41</v>
      </c>
      <c r="I7" s="9">
        <v>29710.97</v>
      </c>
      <c r="J7" s="9">
        <v>15204.1</v>
      </c>
      <c r="K7" s="9">
        <v>14579.29</v>
      </c>
      <c r="L7" s="9">
        <v>24473.25</v>
      </c>
      <c r="M7" s="9">
        <v>14557.5</v>
      </c>
      <c r="N7" s="107">
        <f t="shared" si="0"/>
        <v>228234.91000000003</v>
      </c>
      <c r="O7" s="19">
        <f>SUM('R 2011'!B7:M7)</f>
        <v>220263.00999999998</v>
      </c>
      <c r="P7" s="77">
        <f t="shared" si="1"/>
        <v>3.6192640788846209E-2</v>
      </c>
      <c r="Q7" s="37" t="s">
        <v>20</v>
      </c>
    </row>
    <row r="8" spans="1:21">
      <c r="A8" s="37" t="s">
        <v>21</v>
      </c>
      <c r="B8" s="9">
        <v>279.76</v>
      </c>
      <c r="C8" s="9">
        <v>2573.4499999999998</v>
      </c>
      <c r="D8" s="9">
        <v>0</v>
      </c>
      <c r="E8" s="9">
        <v>0</v>
      </c>
      <c r="F8" s="9">
        <v>0</v>
      </c>
      <c r="G8" s="9">
        <v>0</v>
      </c>
      <c r="H8" s="9">
        <v>3896.24</v>
      </c>
      <c r="I8" s="9">
        <v>2015.86</v>
      </c>
      <c r="J8" s="9">
        <v>2007.25</v>
      </c>
      <c r="K8" s="9">
        <v>1579.18</v>
      </c>
      <c r="L8" s="9">
        <v>3207.05</v>
      </c>
      <c r="M8" s="9">
        <v>693.39</v>
      </c>
      <c r="N8" s="107">
        <f t="shared" si="0"/>
        <v>16252.18</v>
      </c>
      <c r="O8" s="19">
        <f>SUM('R 2011'!B8:M8)</f>
        <v>12963.361999999999</v>
      </c>
      <c r="P8" s="77">
        <f t="shared" si="1"/>
        <v>0.25370100750098645</v>
      </c>
      <c r="Q8" s="37" t="s">
        <v>21</v>
      </c>
    </row>
    <row r="9" spans="1:21">
      <c r="A9" s="37" t="s">
        <v>22</v>
      </c>
      <c r="B9" s="9">
        <v>242376.44</v>
      </c>
      <c r="C9" s="9">
        <v>311113.96000000002</v>
      </c>
      <c r="D9" s="9">
        <v>209598.16</v>
      </c>
      <c r="E9" s="9">
        <v>224226.67</v>
      </c>
      <c r="F9" s="9">
        <v>315102.81</v>
      </c>
      <c r="G9" s="9">
        <v>242292.94</v>
      </c>
      <c r="H9" s="9">
        <v>241836.21</v>
      </c>
      <c r="I9" s="9">
        <v>388675</v>
      </c>
      <c r="J9" s="9">
        <v>229613.69</v>
      </c>
      <c r="K9" s="9">
        <v>301131.28000000003</v>
      </c>
      <c r="L9" s="9">
        <v>302713.78999999998</v>
      </c>
      <c r="M9" s="9">
        <v>237354.22</v>
      </c>
      <c r="N9" s="107">
        <f t="shared" si="0"/>
        <v>3246035.1700000004</v>
      </c>
      <c r="O9" s="19">
        <f>SUM('R 2011'!B9:M9)</f>
        <v>3018160.6799999992</v>
      </c>
      <c r="P9" s="77">
        <f t="shared" si="1"/>
        <v>7.5501112816830362E-2</v>
      </c>
      <c r="Q9" s="37" t="s">
        <v>22</v>
      </c>
    </row>
    <row r="10" spans="1:21">
      <c r="A10" s="37" t="s">
        <v>23</v>
      </c>
      <c r="B10" s="9">
        <v>10123.73</v>
      </c>
      <c r="C10" s="9">
        <v>15454.96</v>
      </c>
      <c r="D10" s="9">
        <v>8716.48</v>
      </c>
      <c r="E10" s="9">
        <v>9684.9</v>
      </c>
      <c r="F10" s="9">
        <v>19114.63</v>
      </c>
      <c r="G10" s="9">
        <v>7715.61</v>
      </c>
      <c r="H10" s="9">
        <v>10497.12</v>
      </c>
      <c r="I10" s="9">
        <v>17766.88</v>
      </c>
      <c r="J10" s="9">
        <v>9451.77</v>
      </c>
      <c r="K10" s="9">
        <v>13384.76</v>
      </c>
      <c r="L10" s="9">
        <v>20688.71</v>
      </c>
      <c r="M10" s="9">
        <v>11154.29</v>
      </c>
      <c r="N10" s="107">
        <f t="shared" si="0"/>
        <v>153753.84</v>
      </c>
      <c r="O10" s="19">
        <f>SUM('R 2011'!B10:M10)</f>
        <v>135830.71000000002</v>
      </c>
      <c r="P10" s="77">
        <f t="shared" si="1"/>
        <v>0.13195197168593142</v>
      </c>
      <c r="Q10" s="37" t="s">
        <v>23</v>
      </c>
    </row>
    <row r="11" spans="1:21">
      <c r="A11" s="37" t="s">
        <v>51</v>
      </c>
      <c r="B11" s="9">
        <v>2873.17</v>
      </c>
      <c r="C11" s="9">
        <v>4199.42</v>
      </c>
      <c r="D11" s="9">
        <v>658.27</v>
      </c>
      <c r="E11" s="9">
        <v>2010.61</v>
      </c>
      <c r="F11" s="9">
        <v>4140.84</v>
      </c>
      <c r="G11" s="9">
        <v>3121.89</v>
      </c>
      <c r="H11" s="9">
        <v>4442.84</v>
      </c>
      <c r="I11" s="9">
        <v>6065.85</v>
      </c>
      <c r="J11" s="9">
        <v>4479.42</v>
      </c>
      <c r="K11" s="9">
        <v>4889.4799999999996</v>
      </c>
      <c r="L11" s="9">
        <v>4697.88</v>
      </c>
      <c r="M11" s="9">
        <v>3579.35</v>
      </c>
      <c r="N11" s="107">
        <f t="shared" si="0"/>
        <v>45159.01999999999</v>
      </c>
      <c r="O11" s="19">
        <f>SUM('R 2011'!B11:M11)</f>
        <v>41720.21</v>
      </c>
      <c r="P11" s="77">
        <f t="shared" si="1"/>
        <v>8.2425519909894662E-2</v>
      </c>
      <c r="Q11" s="37" t="s">
        <v>51</v>
      </c>
    </row>
    <row r="12" spans="1:21">
      <c r="A12" s="37" t="s">
        <v>24</v>
      </c>
      <c r="B12" s="9">
        <v>1836.55</v>
      </c>
      <c r="C12" s="9">
        <v>8544.59</v>
      </c>
      <c r="D12" s="9">
        <v>1664.53</v>
      </c>
      <c r="E12" s="9">
        <v>2317.88</v>
      </c>
      <c r="F12" s="9">
        <v>0</v>
      </c>
      <c r="G12" s="9">
        <v>11965.16</v>
      </c>
      <c r="H12" s="9">
        <v>20770.88</v>
      </c>
      <c r="I12" s="9">
        <v>33594.07</v>
      </c>
      <c r="J12" s="9">
        <v>23691.53</v>
      </c>
      <c r="K12" s="9">
        <v>26594.87</v>
      </c>
      <c r="L12" s="9">
        <v>32343.95</v>
      </c>
      <c r="M12" s="9">
        <v>18328.009999999998</v>
      </c>
      <c r="N12" s="107">
        <f t="shared" si="0"/>
        <v>181652.02000000002</v>
      </c>
      <c r="O12" s="19">
        <f>SUM('R 2011'!B12:M12)</f>
        <v>188039.81</v>
      </c>
      <c r="P12" s="201">
        <f t="shared" si="1"/>
        <v>-3.3970412967339048E-2</v>
      </c>
      <c r="Q12" s="37" t="s">
        <v>24</v>
      </c>
    </row>
    <row r="13" spans="1:21">
      <c r="A13" s="37" t="s">
        <v>25</v>
      </c>
      <c r="B13" s="199">
        <v>16885.86</v>
      </c>
      <c r="C13" s="199">
        <v>19637.509999999998</v>
      </c>
      <c r="D13" s="199">
        <v>9045.4</v>
      </c>
      <c r="E13" s="199">
        <v>16550.52</v>
      </c>
      <c r="F13" s="199">
        <v>36190.49</v>
      </c>
      <c r="G13" s="199">
        <v>31894.18</v>
      </c>
      <c r="H13" s="199">
        <v>39336.54</v>
      </c>
      <c r="I13" s="199">
        <v>57009.04</v>
      </c>
      <c r="J13" s="199">
        <v>29866.51</v>
      </c>
      <c r="K13" s="199">
        <v>41673.08</v>
      </c>
      <c r="L13" s="199">
        <v>54296.39</v>
      </c>
      <c r="M13" s="199">
        <v>31609.43</v>
      </c>
      <c r="N13" s="198">
        <f t="shared" si="0"/>
        <v>383994.95</v>
      </c>
      <c r="O13" s="19">
        <f>SUM('R 2011'!B13:M13)</f>
        <v>363890.11</v>
      </c>
      <c r="P13" s="201">
        <f t="shared" si="1"/>
        <v>5.5249756581732923E-2</v>
      </c>
      <c r="Q13" s="37" t="s">
        <v>25</v>
      </c>
    </row>
    <row r="14" spans="1:21">
      <c r="A14" s="37" t="s">
        <v>26</v>
      </c>
      <c r="B14" s="199">
        <v>35274.199999999997</v>
      </c>
      <c r="C14" s="199">
        <v>49455.67</v>
      </c>
      <c r="D14" s="199">
        <v>32113.19</v>
      </c>
      <c r="E14" s="199">
        <v>35888.39</v>
      </c>
      <c r="F14" s="199">
        <v>57922.94</v>
      </c>
      <c r="G14" s="199">
        <v>36174.33</v>
      </c>
      <c r="H14" s="199">
        <v>33746.76</v>
      </c>
      <c r="I14" s="199">
        <v>62367.46</v>
      </c>
      <c r="J14" s="199">
        <v>36735.93</v>
      </c>
      <c r="K14" s="199">
        <v>47014.55</v>
      </c>
      <c r="L14" s="199">
        <v>58559.94</v>
      </c>
      <c r="M14" s="199">
        <v>36215.93</v>
      </c>
      <c r="N14" s="198">
        <f t="shared" si="0"/>
        <v>521469.29000000004</v>
      </c>
      <c r="O14" s="19">
        <f>SUM('R 2011'!B14:M14)</f>
        <v>500611.69000000006</v>
      </c>
      <c r="P14" s="201">
        <f t="shared" si="1"/>
        <v>4.1664228815751381E-2</v>
      </c>
      <c r="Q14" s="37" t="s">
        <v>26</v>
      </c>
    </row>
    <row r="15" spans="1:21">
      <c r="A15" s="37" t="s">
        <v>27</v>
      </c>
      <c r="B15" s="199">
        <v>6068.32</v>
      </c>
      <c r="C15" s="199">
        <v>9423.2900000000009</v>
      </c>
      <c r="D15" s="199">
        <v>5800.18</v>
      </c>
      <c r="E15" s="199">
        <v>5703.31</v>
      </c>
      <c r="F15" s="199">
        <v>9692.17</v>
      </c>
      <c r="G15" s="199">
        <v>5978.44</v>
      </c>
      <c r="H15" s="199">
        <v>9579</v>
      </c>
      <c r="I15" s="199">
        <v>14243.57</v>
      </c>
      <c r="J15" s="199">
        <v>6289.86</v>
      </c>
      <c r="K15" s="199">
        <v>6757.53</v>
      </c>
      <c r="L15" s="199">
        <v>12630.27</v>
      </c>
      <c r="M15" s="199">
        <v>6151.4</v>
      </c>
      <c r="N15" s="107">
        <f t="shared" si="0"/>
        <v>98317.34</v>
      </c>
      <c r="O15" s="19">
        <f>SUM('R 2011'!B15:M15)</f>
        <v>83934.23000000001</v>
      </c>
      <c r="P15" s="201">
        <f t="shared" si="1"/>
        <v>0.17136167210922149</v>
      </c>
      <c r="Q15" s="37" t="s">
        <v>27</v>
      </c>
    </row>
    <row r="16" spans="1:21">
      <c r="A16" s="37" t="s">
        <v>28</v>
      </c>
      <c r="B16" s="199">
        <v>6084.14</v>
      </c>
      <c r="C16" s="199">
        <v>8988.77</v>
      </c>
      <c r="D16" s="199">
        <v>3374.05</v>
      </c>
      <c r="E16" s="199">
        <v>4618.01</v>
      </c>
      <c r="F16" s="199">
        <v>14460.99</v>
      </c>
      <c r="G16" s="199">
        <v>12294.17</v>
      </c>
      <c r="H16" s="199">
        <v>10842.18</v>
      </c>
      <c r="I16" s="199">
        <v>22650.44</v>
      </c>
      <c r="J16" s="199">
        <v>16237.69</v>
      </c>
      <c r="K16" s="199">
        <v>15044.3</v>
      </c>
      <c r="L16" s="199">
        <v>26727.3</v>
      </c>
      <c r="M16" s="199">
        <v>12088.51</v>
      </c>
      <c r="N16" s="198">
        <f t="shared" si="0"/>
        <v>153410.55000000002</v>
      </c>
      <c r="O16" s="19">
        <f>SUM('R 2011'!B16:M16)</f>
        <v>142271.19999999998</v>
      </c>
      <c r="P16" s="201">
        <f t="shared" si="1"/>
        <v>7.8296591298871787E-2</v>
      </c>
      <c r="Q16" s="37" t="s">
        <v>28</v>
      </c>
      <c r="U16" s="100"/>
    </row>
    <row r="17" spans="1:21">
      <c r="A17" s="37" t="s">
        <v>29</v>
      </c>
      <c r="B17" s="199">
        <v>2317.0100000000002</v>
      </c>
      <c r="C17" s="199">
        <v>4415.53</v>
      </c>
      <c r="D17" s="199">
        <v>1293.3399999999999</v>
      </c>
      <c r="E17" s="199">
        <v>3138.84</v>
      </c>
      <c r="F17" s="199">
        <v>4210.08</v>
      </c>
      <c r="G17" s="199">
        <v>1767.56</v>
      </c>
      <c r="H17" s="199">
        <v>2585.75</v>
      </c>
      <c r="I17" s="199">
        <v>8243.01</v>
      </c>
      <c r="J17" s="199">
        <v>2256.86</v>
      </c>
      <c r="K17" s="199">
        <v>2088.2800000000002</v>
      </c>
      <c r="L17" s="199">
        <v>8700.06</v>
      </c>
      <c r="M17" s="199">
        <v>1575.06</v>
      </c>
      <c r="N17" s="107">
        <f t="shared" si="0"/>
        <v>42591.38</v>
      </c>
      <c r="O17" s="19">
        <f>SUM('R 2011'!B17:M17)</f>
        <v>37398.069999999992</v>
      </c>
      <c r="P17" s="201">
        <f t="shared" si="1"/>
        <v>0.13886572221507709</v>
      </c>
      <c r="Q17" s="37" t="s">
        <v>29</v>
      </c>
      <c r="U17" s="100"/>
    </row>
    <row r="18" spans="1:21">
      <c r="A18" s="37" t="s">
        <v>30</v>
      </c>
      <c r="B18" s="199">
        <v>37.369999999999997</v>
      </c>
      <c r="C18" s="199">
        <v>1222.56</v>
      </c>
      <c r="D18" s="199">
        <v>0</v>
      </c>
      <c r="E18" s="199">
        <v>0</v>
      </c>
      <c r="F18" s="199">
        <v>339.5</v>
      </c>
      <c r="G18" s="199">
        <v>616.79</v>
      </c>
      <c r="H18" s="199">
        <v>1879.31</v>
      </c>
      <c r="I18" s="199">
        <v>5923.67</v>
      </c>
      <c r="J18" s="199">
        <v>3993.04</v>
      </c>
      <c r="K18" s="199">
        <v>7809.09</v>
      </c>
      <c r="L18" s="199">
        <v>9963.3799999999992</v>
      </c>
      <c r="M18" s="199">
        <v>823.67</v>
      </c>
      <c r="N18" s="107">
        <f t="shared" si="0"/>
        <v>32608.379999999997</v>
      </c>
      <c r="O18" s="19">
        <f>SUM('R 2011'!B18:M18)</f>
        <v>25914.649999999998</v>
      </c>
      <c r="P18" s="201">
        <f t="shared" si="1"/>
        <v>0.25829907021703935</v>
      </c>
      <c r="Q18" s="37" t="s">
        <v>30</v>
      </c>
      <c r="U18" s="202"/>
    </row>
    <row r="19" spans="1:21">
      <c r="A19" s="37" t="s">
        <v>31</v>
      </c>
      <c r="B19" s="199">
        <v>1301594.9099999999</v>
      </c>
      <c r="C19" s="199">
        <v>1745020.29</v>
      </c>
      <c r="D19" s="199">
        <v>1250524.48</v>
      </c>
      <c r="E19" s="199">
        <v>1248935.5900000001</v>
      </c>
      <c r="F19" s="199">
        <v>1821195.72</v>
      </c>
      <c r="G19" s="199">
        <v>1364273.18</v>
      </c>
      <c r="H19" s="199">
        <v>1185770.49</v>
      </c>
      <c r="I19" s="199">
        <v>1999528.03</v>
      </c>
      <c r="J19" s="199">
        <v>1120939.58</v>
      </c>
      <c r="K19" s="199">
        <v>1420863.17</v>
      </c>
      <c r="L19" s="199">
        <v>1642914.61</v>
      </c>
      <c r="M19" s="199">
        <v>1267776.43</v>
      </c>
      <c r="N19" s="107">
        <f t="shared" si="0"/>
        <v>17369336.48</v>
      </c>
      <c r="O19" s="19">
        <f>SUM('R 2011'!B19:M19)</f>
        <v>16135599.32</v>
      </c>
      <c r="P19" s="201">
        <f t="shared" si="1"/>
        <v>7.6460572398497018E-2</v>
      </c>
      <c r="Q19" s="37" t="s">
        <v>31</v>
      </c>
    </row>
    <row r="20" spans="1:21">
      <c r="A20" s="37" t="s">
        <v>45</v>
      </c>
      <c r="B20" s="199">
        <v>6750.28</v>
      </c>
      <c r="C20" s="199">
        <v>5811.23</v>
      </c>
      <c r="D20" s="199">
        <v>3972.39</v>
      </c>
      <c r="E20" s="199">
        <v>4172.6899999999996</v>
      </c>
      <c r="F20" s="199">
        <v>8007.23</v>
      </c>
      <c r="G20" s="199">
        <v>6776.79</v>
      </c>
      <c r="H20" s="199">
        <v>7343.25</v>
      </c>
      <c r="I20" s="199">
        <v>11884.69</v>
      </c>
      <c r="J20" s="199">
        <v>5409.52</v>
      </c>
      <c r="K20" s="199">
        <v>5599.73</v>
      </c>
      <c r="L20" s="199">
        <v>12571.42</v>
      </c>
      <c r="M20" s="199">
        <v>7308.22</v>
      </c>
      <c r="N20" s="198">
        <f t="shared" si="0"/>
        <v>85607.439999999988</v>
      </c>
      <c r="O20" s="19">
        <f>SUM('R 2011'!B20:M20)</f>
        <v>39518.640000000007</v>
      </c>
      <c r="P20" s="201">
        <f t="shared" si="1"/>
        <v>1.1662547091701532</v>
      </c>
      <c r="Q20" s="37" t="s">
        <v>45</v>
      </c>
    </row>
    <row r="21" spans="1:21">
      <c r="A21" s="37" t="s">
        <v>32</v>
      </c>
      <c r="B21" s="199">
        <v>7541.84</v>
      </c>
      <c r="C21" s="199">
        <v>14264.89</v>
      </c>
      <c r="D21" s="199">
        <v>3980.31</v>
      </c>
      <c r="E21" s="199">
        <v>5235.3999999999996</v>
      </c>
      <c r="F21" s="199">
        <v>16178.61</v>
      </c>
      <c r="G21" s="199">
        <v>5178.28</v>
      </c>
      <c r="H21" s="199">
        <v>3734.55</v>
      </c>
      <c r="I21" s="199">
        <v>27908.26</v>
      </c>
      <c r="J21" s="199">
        <v>5373.58</v>
      </c>
      <c r="K21" s="199">
        <v>3830.78</v>
      </c>
      <c r="L21" s="199">
        <v>21420.880000000001</v>
      </c>
      <c r="M21" s="199">
        <v>4316.32</v>
      </c>
      <c r="N21" s="107">
        <f t="shared" si="0"/>
        <v>118963.70000000001</v>
      </c>
      <c r="O21" s="19">
        <f>SUM('R 2011'!B21:M21)</f>
        <v>102103.47</v>
      </c>
      <c r="P21" s="201">
        <f t="shared" si="1"/>
        <v>0.16512886388680048</v>
      </c>
      <c r="Q21" s="37" t="s">
        <v>32</v>
      </c>
    </row>
    <row r="22" spans="1:21">
      <c r="A22" s="37" t="s">
        <v>33</v>
      </c>
      <c r="B22" s="199">
        <v>13226.89</v>
      </c>
      <c r="C22" s="199">
        <v>20084.28</v>
      </c>
      <c r="D22" s="199">
        <v>11745.3</v>
      </c>
      <c r="E22" s="199">
        <v>11322.3</v>
      </c>
      <c r="F22" s="199">
        <v>26265.46</v>
      </c>
      <c r="G22" s="199">
        <v>12093.28</v>
      </c>
      <c r="H22" s="199">
        <v>13375.48</v>
      </c>
      <c r="I22" s="199">
        <v>32548.51</v>
      </c>
      <c r="J22" s="199">
        <v>13537.6</v>
      </c>
      <c r="K22" s="199">
        <v>14318.51</v>
      </c>
      <c r="L22" s="199">
        <v>30079.040000000001</v>
      </c>
      <c r="M22" s="199">
        <v>12026.94</v>
      </c>
      <c r="N22" s="107">
        <f t="shared" si="0"/>
        <v>210623.59000000003</v>
      </c>
      <c r="O22" s="19">
        <f>SUM('R 2011'!B22:M22)</f>
        <v>196520.80000000002</v>
      </c>
      <c r="P22" s="201">
        <f t="shared" si="1"/>
        <v>7.1762327448290586E-2</v>
      </c>
      <c r="Q22" s="37" t="s">
        <v>33</v>
      </c>
    </row>
    <row r="23" spans="1:21">
      <c r="A23" s="37" t="s">
        <v>34</v>
      </c>
      <c r="B23" s="199">
        <v>85232.71</v>
      </c>
      <c r="C23" s="199">
        <v>215736.45</v>
      </c>
      <c r="D23" s="199">
        <v>265591.43</v>
      </c>
      <c r="E23" s="199">
        <v>243848.33</v>
      </c>
      <c r="F23" s="199">
        <v>293845.31</v>
      </c>
      <c r="G23" s="199">
        <v>83393.84</v>
      </c>
      <c r="H23" s="199">
        <v>87176.16</v>
      </c>
      <c r="I23" s="199">
        <v>180370.14</v>
      </c>
      <c r="J23" s="199">
        <v>135239.57999999999</v>
      </c>
      <c r="K23" s="199">
        <v>146558.14000000001</v>
      </c>
      <c r="L23" s="199">
        <v>164523.62</v>
      </c>
      <c r="M23" s="199">
        <v>104665.89</v>
      </c>
      <c r="N23" s="198">
        <f t="shared" si="0"/>
        <v>2006181.6000000003</v>
      </c>
      <c r="O23" s="19">
        <f>SUM('R 2011'!B23:M23)</f>
        <v>1859731.7800000003</v>
      </c>
      <c r="P23" s="201">
        <f t="shared" si="1"/>
        <v>7.8747818139667469E-2</v>
      </c>
      <c r="Q23" s="37" t="s">
        <v>34</v>
      </c>
    </row>
    <row r="24" spans="1:21">
      <c r="A24" s="37" t="s">
        <v>35</v>
      </c>
      <c r="B24" s="199">
        <v>36888.5</v>
      </c>
      <c r="C24" s="199">
        <v>44277.440000000002</v>
      </c>
      <c r="D24" s="199">
        <v>29054.47</v>
      </c>
      <c r="E24" s="199">
        <v>23200.82</v>
      </c>
      <c r="F24" s="199">
        <v>49490.66</v>
      </c>
      <c r="G24" s="199">
        <v>38917.39</v>
      </c>
      <c r="H24" s="199">
        <v>30297.07</v>
      </c>
      <c r="I24" s="199">
        <v>64670.54</v>
      </c>
      <c r="J24" s="199">
        <v>25289.22</v>
      </c>
      <c r="K24" s="199">
        <v>35779.71</v>
      </c>
      <c r="L24" s="199">
        <v>46299.34</v>
      </c>
      <c r="M24" s="199">
        <v>31764.76</v>
      </c>
      <c r="N24" s="107">
        <f t="shared" si="0"/>
        <v>455929.92000000004</v>
      </c>
      <c r="O24" s="19">
        <f>SUM('R 2011'!B24:M24)</f>
        <v>431630.72</v>
      </c>
      <c r="P24" s="201">
        <f t="shared" si="1"/>
        <v>5.6296271034647516E-2</v>
      </c>
      <c r="Q24" s="37" t="s">
        <v>35</v>
      </c>
    </row>
    <row r="25" spans="1:21">
      <c r="A25" s="37" t="s">
        <v>36</v>
      </c>
      <c r="B25" s="199">
        <v>25673.84</v>
      </c>
      <c r="C25" s="199">
        <v>44146.67</v>
      </c>
      <c r="D25" s="199">
        <v>21246.47</v>
      </c>
      <c r="E25" s="199">
        <v>27408.51</v>
      </c>
      <c r="F25" s="199">
        <v>42373.84</v>
      </c>
      <c r="G25" s="199">
        <v>32137.95</v>
      </c>
      <c r="H25" s="199">
        <v>33346.959999999999</v>
      </c>
      <c r="I25" s="199">
        <v>59084.800000000003</v>
      </c>
      <c r="J25" s="199">
        <v>25042.95</v>
      </c>
      <c r="K25" s="199">
        <v>33154.720000000001</v>
      </c>
      <c r="L25" s="199">
        <v>41368.019999999997</v>
      </c>
      <c r="M25" s="199">
        <v>30520.32</v>
      </c>
      <c r="N25" s="107">
        <f t="shared" si="0"/>
        <v>415505.05</v>
      </c>
      <c r="O25" s="19">
        <f>SUM('R 2011'!B25:M25)</f>
        <v>335601.78</v>
      </c>
      <c r="P25" s="201">
        <f t="shared" si="1"/>
        <v>0.23808952979927556</v>
      </c>
      <c r="Q25" s="37" t="s">
        <v>36</v>
      </c>
    </row>
    <row r="26" spans="1:21">
      <c r="A26" s="37" t="s">
        <v>37</v>
      </c>
      <c r="B26" s="199">
        <v>387213.59</v>
      </c>
      <c r="C26" s="199">
        <v>530012.13</v>
      </c>
      <c r="D26" s="199">
        <v>343215.3</v>
      </c>
      <c r="E26" s="199">
        <v>374078.11</v>
      </c>
      <c r="F26" s="199">
        <v>535166.77</v>
      </c>
      <c r="G26" s="199">
        <v>392370.6</v>
      </c>
      <c r="H26" s="199">
        <v>368049.97</v>
      </c>
      <c r="I26" s="199">
        <v>578987.98</v>
      </c>
      <c r="J26" s="199">
        <v>357437.79</v>
      </c>
      <c r="K26" s="199">
        <v>470549</v>
      </c>
      <c r="L26" s="199">
        <v>526313.63</v>
      </c>
      <c r="M26" s="199">
        <v>386574.03</v>
      </c>
      <c r="N26" s="107">
        <f t="shared" si="0"/>
        <v>5249968.9000000004</v>
      </c>
      <c r="O26" s="19">
        <f>SUM('R 2011'!B26:M26)</f>
        <v>4753810.0799999982</v>
      </c>
      <c r="P26" s="201">
        <f t="shared" si="1"/>
        <v>0.10437077031903685</v>
      </c>
      <c r="Q26" s="37" t="s">
        <v>37</v>
      </c>
    </row>
    <row r="27" spans="1:21">
      <c r="A27" s="37" t="s">
        <v>38</v>
      </c>
      <c r="B27" s="199">
        <v>24731.54</v>
      </c>
      <c r="C27" s="199">
        <v>38188.199999999997</v>
      </c>
      <c r="D27" s="199">
        <v>26194.45</v>
      </c>
      <c r="E27" s="199">
        <v>19642.61</v>
      </c>
      <c r="F27" s="199">
        <v>35598.03</v>
      </c>
      <c r="G27" s="199">
        <v>25438.98</v>
      </c>
      <c r="H27" s="199">
        <v>29764.53</v>
      </c>
      <c r="I27" s="199">
        <v>50659.56</v>
      </c>
      <c r="J27" s="199">
        <v>37660.089999999997</v>
      </c>
      <c r="K27" s="199">
        <v>34425.94</v>
      </c>
      <c r="L27" s="199">
        <v>35968.25</v>
      </c>
      <c r="M27" s="199">
        <v>26580.44</v>
      </c>
      <c r="N27" s="198">
        <f t="shared" si="0"/>
        <v>384852.62</v>
      </c>
      <c r="O27" s="19">
        <f>SUM('R 2011'!B27:M27)</f>
        <v>367311.41</v>
      </c>
      <c r="P27" s="201">
        <f t="shared" si="1"/>
        <v>4.7755690464393652E-2</v>
      </c>
      <c r="Q27" s="37" t="s">
        <v>38</v>
      </c>
    </row>
    <row r="28" spans="1:21">
      <c r="A28" s="37" t="s">
        <v>39</v>
      </c>
      <c r="B28" s="199">
        <v>135376.82999999999</v>
      </c>
      <c r="C28" s="199">
        <v>178866.16</v>
      </c>
      <c r="D28" s="199">
        <v>112070.74</v>
      </c>
      <c r="E28" s="199">
        <v>129919.09</v>
      </c>
      <c r="F28" s="199">
        <v>238839.16</v>
      </c>
      <c r="G28" s="199">
        <v>156282.94</v>
      </c>
      <c r="H28" s="199">
        <v>145977.43</v>
      </c>
      <c r="I28" s="199">
        <v>270222.05</v>
      </c>
      <c r="J28" s="199">
        <v>141404.16</v>
      </c>
      <c r="K28" s="199">
        <v>171432.18</v>
      </c>
      <c r="L28" s="199">
        <v>201069.85</v>
      </c>
      <c r="M28" s="199">
        <v>148949.79999999999</v>
      </c>
      <c r="N28" s="198">
        <f t="shared" si="0"/>
        <v>2030410.39</v>
      </c>
      <c r="O28" s="19">
        <f>SUM('R 2011'!B28:M28)</f>
        <v>1835860.8200000003</v>
      </c>
      <c r="P28" s="201">
        <f t="shared" si="1"/>
        <v>0.10597185139557563</v>
      </c>
      <c r="Q28" s="37" t="s">
        <v>97</v>
      </c>
    </row>
    <row r="29" spans="1:21">
      <c r="A29" s="37" t="s">
        <v>40</v>
      </c>
      <c r="B29" s="9">
        <v>1383.47</v>
      </c>
      <c r="C29" s="9">
        <v>4112.83</v>
      </c>
      <c r="D29" s="9">
        <v>90.72</v>
      </c>
      <c r="E29" s="9">
        <v>584.21</v>
      </c>
      <c r="F29" s="9">
        <v>2279.34</v>
      </c>
      <c r="G29" s="9">
        <v>308.05</v>
      </c>
      <c r="H29" s="9">
        <v>3647.1</v>
      </c>
      <c r="I29" s="9">
        <v>14901.86</v>
      </c>
      <c r="J29" s="9">
        <v>3806.25</v>
      </c>
      <c r="K29" s="9">
        <v>3373.33</v>
      </c>
      <c r="L29" s="9">
        <v>14342.97</v>
      </c>
      <c r="M29" s="9">
        <v>600.70000000000005</v>
      </c>
      <c r="N29" s="107">
        <f t="shared" si="0"/>
        <v>49430.83</v>
      </c>
      <c r="O29" s="19">
        <f>SUM('R 2011'!B29:M29)</f>
        <v>46725.090000000004</v>
      </c>
      <c r="P29" s="201">
        <f t="shared" si="1"/>
        <v>5.7907646619835162E-2</v>
      </c>
      <c r="Q29" s="37" t="s">
        <v>40</v>
      </c>
    </row>
    <row r="30" spans="1:21" ht="13" thickBot="1">
      <c r="A30" s="38" t="s">
        <v>41</v>
      </c>
      <c r="B30" s="9">
        <v>188568.92</v>
      </c>
      <c r="C30" s="9">
        <v>268619.34999999998</v>
      </c>
      <c r="D30" s="9">
        <v>158609.32999999999</v>
      </c>
      <c r="E30" s="9">
        <v>180872.45</v>
      </c>
      <c r="F30" s="9">
        <v>287771.12</v>
      </c>
      <c r="G30" s="9">
        <v>178753.02</v>
      </c>
      <c r="H30" s="9">
        <v>183464.8</v>
      </c>
      <c r="I30" s="9">
        <v>307752.90000000002</v>
      </c>
      <c r="J30" s="9">
        <v>157632.48000000001</v>
      </c>
      <c r="K30" s="9">
        <v>198651.68</v>
      </c>
      <c r="L30" s="9">
        <v>273452.78999999998</v>
      </c>
      <c r="M30" s="9">
        <v>178505.07</v>
      </c>
      <c r="N30" s="110">
        <f t="shared" si="0"/>
        <v>2562653.91</v>
      </c>
      <c r="O30" s="19">
        <f>SUM('R 2011'!B30:M30)</f>
        <v>2435316.4400000004</v>
      </c>
      <c r="P30" s="78">
        <f t="shared" si="1"/>
        <v>5.228785381172063E-2</v>
      </c>
      <c r="Q30" s="38" t="s">
        <v>41</v>
      </c>
    </row>
    <row r="31" spans="1:21" ht="14" thickTop="1" thickBot="1">
      <c r="A31" s="137" t="s">
        <v>0</v>
      </c>
      <c r="B31" s="138">
        <f t="shared" ref="B31:O31" si="2">SUM(B4:B30)</f>
        <v>2675394.44</v>
      </c>
      <c r="C31" s="139">
        <f t="shared" si="2"/>
        <v>3745057.5800000005</v>
      </c>
      <c r="D31" s="139">
        <f t="shared" si="2"/>
        <v>2627913.4800000004</v>
      </c>
      <c r="E31" s="139">
        <f t="shared" si="2"/>
        <v>2698427.44</v>
      </c>
      <c r="F31" s="139">
        <f t="shared" si="2"/>
        <v>4000731.1199999996</v>
      </c>
      <c r="G31" s="139">
        <f t="shared" si="2"/>
        <v>2781634.2899999996</v>
      </c>
      <c r="H31" s="139">
        <f t="shared" si="2"/>
        <v>2604917.3899999997</v>
      </c>
      <c r="I31" s="139">
        <f t="shared" si="2"/>
        <v>4443181.0999999996</v>
      </c>
      <c r="J31" s="139">
        <f t="shared" si="2"/>
        <v>2515116.79</v>
      </c>
      <c r="K31" s="139">
        <f t="shared" si="2"/>
        <v>3158690.6400000006</v>
      </c>
      <c r="L31" s="139">
        <f t="shared" si="2"/>
        <v>3746956.4400000004</v>
      </c>
      <c r="M31" s="140">
        <f t="shared" si="2"/>
        <v>2685121.2199999997</v>
      </c>
      <c r="N31" s="24">
        <f t="shared" si="2"/>
        <v>37683141.930000007</v>
      </c>
      <c r="O31" s="127">
        <f t="shared" si="2"/>
        <v>34815595.877999999</v>
      </c>
      <c r="P31" s="113">
        <f t="shared" si="1"/>
        <v>8.2363836656663691E-2</v>
      </c>
      <c r="Q31" s="142"/>
    </row>
    <row r="32" spans="1:21">
      <c r="B32" s="28">
        <f>B31/'R 2011'!B31-1</f>
        <v>0.33100353798828364</v>
      </c>
      <c r="C32" s="28">
        <f>C31/'R 2011'!C31-1</f>
        <v>9.875198011426245E-2</v>
      </c>
      <c r="D32" s="28">
        <f>D31/'R 2011'!D31-1</f>
        <v>-1.6281249778557383E-2</v>
      </c>
      <c r="E32" s="28">
        <f>E31/'R 2011'!E31-1</f>
        <v>7.6234492902520268E-2</v>
      </c>
      <c r="F32" s="28">
        <f>F31/'R 2011'!F31-1</f>
        <v>0.22620867936161049</v>
      </c>
      <c r="G32" s="28">
        <f>G31/'R 2011'!G31-1</f>
        <v>-0.12938739440036073</v>
      </c>
      <c r="H32" s="28">
        <f>H31/'R 2011'!H31-1</f>
        <v>0.11007778082269248</v>
      </c>
      <c r="I32" s="28">
        <f>I31/'R 2011'!I31-1</f>
        <v>7.7568504055862686E-2</v>
      </c>
      <c r="J32" s="28">
        <f>J31/'R 2011'!J31-1</f>
        <v>3.9444074915930383E-2</v>
      </c>
      <c r="K32" s="28">
        <f>K31/'R 2011'!K31-1</f>
        <v>0.16175760252830895</v>
      </c>
      <c r="L32" s="28">
        <f>L31/'R 2011'!L31-1</f>
        <v>1.926108946719518E-2</v>
      </c>
      <c r="M32" s="28">
        <f>M31/'R 2011'!M31-1</f>
        <v>8.4458040228361897E-2</v>
      </c>
      <c r="N32" s="28"/>
    </row>
    <row r="33" spans="1:16">
      <c r="N33" s="100"/>
      <c r="O33" s="100"/>
    </row>
    <row r="34" spans="1:16">
      <c r="C34" s="100"/>
      <c r="N34" s="100"/>
    </row>
    <row r="35" spans="1:16">
      <c r="I35" s="218"/>
      <c r="N35" s="100"/>
    </row>
    <row r="36" spans="1:16">
      <c r="I36" s="218"/>
      <c r="N36" s="100"/>
    </row>
    <row r="37" spans="1:16">
      <c r="A37" s="145"/>
      <c r="F37" s="100"/>
      <c r="N37" s="100"/>
    </row>
    <row r="39" spans="1:16">
      <c r="F39" s="196"/>
    </row>
    <row r="41" spans="1:16" ht="13" thickBot="1">
      <c r="P41" s="113"/>
    </row>
    <row r="42" spans="1:16">
      <c r="N42" s="100"/>
    </row>
  </sheetData>
  <mergeCells count="1">
    <mergeCell ref="A1:P1"/>
  </mergeCells>
  <printOptions horizontalCentered="1"/>
  <pageMargins left="0" right="0" top="1" bottom="1" header="0.5" footer="0.5"/>
  <pageSetup scale="90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rgb="FFFFFF00"/>
  </sheetPr>
  <dimension ref="A1:Q39"/>
  <sheetViews>
    <sheetView workbookViewId="0">
      <pane xSplit="1" ySplit="3" topLeftCell="B4" activePane="bottomRight" state="frozen"/>
      <selection activeCell="H31" sqref="H31"/>
      <selection pane="topRight" activeCell="H31" sqref="H31"/>
      <selection pane="bottomLeft" activeCell="H31" sqref="H31"/>
      <selection pane="bottomRight" activeCell="H31" sqref="H31"/>
    </sheetView>
  </sheetViews>
  <sheetFormatPr baseColWidth="10" defaultColWidth="8.83203125" defaultRowHeight="12" x14ac:dyDescent="0"/>
  <cols>
    <col min="2" max="2" width="9.5" bestFit="1" customWidth="1"/>
    <col min="6" max="6" width="11.1640625" bestFit="1" customWidth="1"/>
    <col min="11" max="11" width="10.33203125" bestFit="1" customWidth="1"/>
    <col min="14" max="15" width="9.5" bestFit="1" customWidth="1"/>
  </cols>
  <sheetData>
    <row r="1" spans="1:17" ht="21">
      <c r="A1" s="691" t="s">
        <v>111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17" ht="13" thickBo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3" thickBot="1">
      <c r="A3" s="129" t="s">
        <v>42</v>
      </c>
      <c r="B3" s="130" t="s">
        <v>2</v>
      </c>
      <c r="C3" s="131" t="s">
        <v>3</v>
      </c>
      <c r="D3" s="131" t="s">
        <v>4</v>
      </c>
      <c r="E3" s="131" t="s">
        <v>5</v>
      </c>
      <c r="F3" s="131" t="s">
        <v>6</v>
      </c>
      <c r="G3" s="131" t="s">
        <v>7</v>
      </c>
      <c r="H3" s="131" t="s">
        <v>8</v>
      </c>
      <c r="I3" s="131" t="s">
        <v>9</v>
      </c>
      <c r="J3" s="131" t="s">
        <v>10</v>
      </c>
      <c r="K3" s="131" t="s">
        <v>11</v>
      </c>
      <c r="L3" s="131" t="s">
        <v>12</v>
      </c>
      <c r="M3" s="132" t="s">
        <v>13</v>
      </c>
      <c r="N3" s="25" t="s">
        <v>112</v>
      </c>
      <c r="O3" s="131" t="s">
        <v>107</v>
      </c>
      <c r="P3" s="135" t="s">
        <v>16</v>
      </c>
      <c r="Q3" s="136" t="s">
        <v>42</v>
      </c>
    </row>
    <row r="4" spans="1:17">
      <c r="A4" s="37" t="s">
        <v>17</v>
      </c>
      <c r="B4" s="9">
        <v>3019.55</v>
      </c>
      <c r="C4" s="10">
        <v>7091.73</v>
      </c>
      <c r="D4" s="10">
        <v>4392.66</v>
      </c>
      <c r="E4" s="10">
        <v>3099.95</v>
      </c>
      <c r="F4" s="10">
        <v>9646.35</v>
      </c>
      <c r="G4" s="10">
        <v>6280.83</v>
      </c>
      <c r="H4" s="10">
        <v>4845.51</v>
      </c>
      <c r="I4" s="10">
        <v>13075.68</v>
      </c>
      <c r="J4" s="122">
        <v>5865.84</v>
      </c>
      <c r="K4" s="124">
        <v>4889.8900000000003</v>
      </c>
      <c r="L4" s="10">
        <v>14578.65</v>
      </c>
      <c r="M4" s="11">
        <v>4068.66</v>
      </c>
      <c r="N4" s="109">
        <f t="shared" ref="N4:N30" si="0">SUM(B4:M4)</f>
        <v>80855.3</v>
      </c>
      <c r="O4" s="19">
        <f>SUM('R 2010'!B4:M4)</f>
        <v>77588.249999999985</v>
      </c>
      <c r="P4" s="77">
        <f t="shared" ref="P4:P20" si="1">N4/O4-1</f>
        <v>4.2107535612673441E-2</v>
      </c>
      <c r="Q4" s="37" t="s">
        <v>17</v>
      </c>
    </row>
    <row r="5" spans="1:17">
      <c r="A5" s="37" t="s">
        <v>18</v>
      </c>
      <c r="B5" s="9">
        <v>19586.786</v>
      </c>
      <c r="C5" s="10">
        <v>46483.55</v>
      </c>
      <c r="D5" s="10">
        <v>19362.41</v>
      </c>
      <c r="E5" s="10">
        <v>23858.26</v>
      </c>
      <c r="F5" s="10">
        <v>30611.42</v>
      </c>
      <c r="G5" s="10">
        <v>40234.99</v>
      </c>
      <c r="H5" s="10">
        <v>26116.83</v>
      </c>
      <c r="I5" s="10">
        <v>48543.17</v>
      </c>
      <c r="J5" s="122">
        <v>30374.69</v>
      </c>
      <c r="K5" s="10">
        <v>33586.480000000003</v>
      </c>
      <c r="L5" s="10">
        <v>47616.05</v>
      </c>
      <c r="M5" s="11">
        <v>26862.07</v>
      </c>
      <c r="N5" s="107">
        <f t="shared" si="0"/>
        <v>393236.70599999995</v>
      </c>
      <c r="O5" s="19">
        <f>SUM('R 2010'!B5:M5)</f>
        <v>384464.72600000002</v>
      </c>
      <c r="P5" s="77">
        <f t="shared" si="1"/>
        <v>2.2816085343548398E-2</v>
      </c>
      <c r="Q5" s="37" t="s">
        <v>18</v>
      </c>
    </row>
    <row r="6" spans="1:17">
      <c r="A6" s="37" t="s">
        <v>19</v>
      </c>
      <c r="B6" s="9">
        <v>67670.399999999994</v>
      </c>
      <c r="C6" s="10">
        <v>100821.61</v>
      </c>
      <c r="D6" s="10">
        <v>72997.539999999994</v>
      </c>
      <c r="E6" s="10">
        <v>71538.95</v>
      </c>
      <c r="F6" s="10">
        <v>86929.76</v>
      </c>
      <c r="G6" s="10">
        <v>98520.02</v>
      </c>
      <c r="H6" s="10">
        <v>77352.850000000006</v>
      </c>
      <c r="I6" s="10">
        <v>109251.21</v>
      </c>
      <c r="J6" s="122">
        <v>78229.2</v>
      </c>
      <c r="K6" s="10">
        <v>89730.09</v>
      </c>
      <c r="L6" s="10">
        <v>103584.83</v>
      </c>
      <c r="M6" s="11">
        <v>74149.33</v>
      </c>
      <c r="N6" s="107">
        <f t="shared" si="0"/>
        <v>1030775.7899999998</v>
      </c>
      <c r="O6" s="19">
        <f>SUM('R 2010'!B6:M6)</f>
        <v>972670.78</v>
      </c>
      <c r="P6" s="77">
        <f t="shared" si="1"/>
        <v>5.9737591788250999E-2</v>
      </c>
      <c r="Q6" s="37" t="s">
        <v>19</v>
      </c>
    </row>
    <row r="7" spans="1:17">
      <c r="A7" s="37" t="s">
        <v>20</v>
      </c>
      <c r="B7" s="9">
        <v>12075.28</v>
      </c>
      <c r="C7" s="10">
        <v>21964.54</v>
      </c>
      <c r="D7" s="10">
        <v>15404.76</v>
      </c>
      <c r="E7" s="10">
        <v>12888.3</v>
      </c>
      <c r="F7" s="10">
        <v>18860.36</v>
      </c>
      <c r="G7" s="10">
        <v>21549.43</v>
      </c>
      <c r="H7" s="10">
        <v>16102.15</v>
      </c>
      <c r="I7" s="10">
        <v>29864.11</v>
      </c>
      <c r="J7" s="122">
        <v>14886.41</v>
      </c>
      <c r="K7" s="10">
        <v>15278.05</v>
      </c>
      <c r="L7" s="10">
        <v>24851.78</v>
      </c>
      <c r="M7" s="11">
        <v>16537.84</v>
      </c>
      <c r="N7" s="107">
        <f t="shared" si="0"/>
        <v>220263.00999999998</v>
      </c>
      <c r="O7" s="19">
        <f>SUM('R 2010'!B7:M7)</f>
        <v>215392.7</v>
      </c>
      <c r="P7" s="77">
        <f t="shared" si="1"/>
        <v>2.261130483995033E-2</v>
      </c>
      <c r="Q7" s="37" t="s">
        <v>20</v>
      </c>
    </row>
    <row r="8" spans="1:17">
      <c r="A8" s="37" t="s">
        <v>21</v>
      </c>
      <c r="B8" s="9">
        <v>98.221999999999994</v>
      </c>
      <c r="C8" s="10">
        <v>721.11</v>
      </c>
      <c r="D8" s="10">
        <v>269.12</v>
      </c>
      <c r="E8" s="10">
        <v>279.82</v>
      </c>
      <c r="F8" s="10">
        <v>328.17</v>
      </c>
      <c r="G8" s="10">
        <v>868.1</v>
      </c>
      <c r="H8" s="10">
        <v>1082.07</v>
      </c>
      <c r="I8" s="10">
        <v>2019.09</v>
      </c>
      <c r="J8" s="122">
        <v>2411.9899999999998</v>
      </c>
      <c r="K8" s="10">
        <v>1748.21</v>
      </c>
      <c r="L8" s="10">
        <v>2248.73</v>
      </c>
      <c r="M8" s="11">
        <v>888.73</v>
      </c>
      <c r="N8" s="107">
        <f t="shared" si="0"/>
        <v>12963.361999999999</v>
      </c>
      <c r="O8" s="19">
        <f>SUM('R 2010'!B8:M8)</f>
        <v>7333.7500000000009</v>
      </c>
      <c r="P8" s="77">
        <f t="shared" si="1"/>
        <v>0.76763074825293987</v>
      </c>
      <c r="Q8" s="37" t="s">
        <v>21</v>
      </c>
    </row>
    <row r="9" spans="1:17">
      <c r="A9" s="37" t="s">
        <v>22</v>
      </c>
      <c r="B9" s="9">
        <v>179225.22</v>
      </c>
      <c r="C9" s="10">
        <v>292499.73</v>
      </c>
      <c r="D9" s="10">
        <v>208104.53</v>
      </c>
      <c r="E9" s="10">
        <v>225001.69</v>
      </c>
      <c r="F9" s="10">
        <v>250157.59</v>
      </c>
      <c r="G9" s="10">
        <v>277989.93</v>
      </c>
      <c r="H9" s="10">
        <v>212528.63</v>
      </c>
      <c r="I9" s="10">
        <v>382081.78</v>
      </c>
      <c r="J9" s="122">
        <v>217612.02</v>
      </c>
      <c r="K9" s="10">
        <v>243791.32</v>
      </c>
      <c r="L9" s="10">
        <v>310789.69</v>
      </c>
      <c r="M9" s="11">
        <v>218378.55</v>
      </c>
      <c r="N9" s="107">
        <f t="shared" si="0"/>
        <v>3018160.6799999992</v>
      </c>
      <c r="O9" s="19">
        <f>SUM('R 2010'!B9:M9)</f>
        <v>2898411.24</v>
      </c>
      <c r="P9" s="77">
        <f t="shared" si="1"/>
        <v>4.1315544994918962E-2</v>
      </c>
      <c r="Q9" s="37" t="s">
        <v>22</v>
      </c>
    </row>
    <row r="10" spans="1:17">
      <c r="A10" s="37" t="s">
        <v>23</v>
      </c>
      <c r="B10" s="9">
        <v>7196.13</v>
      </c>
      <c r="C10" s="10">
        <v>16961.54</v>
      </c>
      <c r="D10" s="10">
        <v>6914.93</v>
      </c>
      <c r="E10" s="10">
        <v>7711.86</v>
      </c>
      <c r="F10" s="10">
        <v>10226</v>
      </c>
      <c r="G10" s="10">
        <v>15868.45</v>
      </c>
      <c r="H10" s="10">
        <v>8064.64</v>
      </c>
      <c r="I10" s="10">
        <v>19053.88</v>
      </c>
      <c r="J10" s="122">
        <v>10006.209999999999</v>
      </c>
      <c r="K10" s="10">
        <v>8020.02</v>
      </c>
      <c r="L10" s="10">
        <v>18323.599999999999</v>
      </c>
      <c r="M10" s="11">
        <v>7483.45</v>
      </c>
      <c r="N10" s="107">
        <f t="shared" si="0"/>
        <v>135830.71000000002</v>
      </c>
      <c r="O10" s="19">
        <f>SUM('R 2010'!B10:M10)</f>
        <v>132928.25000000003</v>
      </c>
      <c r="P10" s="77">
        <f t="shared" si="1"/>
        <v>2.1834786811682161E-2</v>
      </c>
      <c r="Q10" s="37" t="s">
        <v>23</v>
      </c>
    </row>
    <row r="11" spans="1:17">
      <c r="A11" s="37" t="s">
        <v>51</v>
      </c>
      <c r="B11" s="9">
        <v>2405.7600000000002</v>
      </c>
      <c r="C11" s="10">
        <v>2366.54</v>
      </c>
      <c r="D11" s="10">
        <v>2244.9699999999998</v>
      </c>
      <c r="E11" s="10">
        <v>5787.44</v>
      </c>
      <c r="F11" s="10">
        <v>3766.8</v>
      </c>
      <c r="G11" s="10">
        <v>778.8</v>
      </c>
      <c r="H11" s="10">
        <v>3910.41</v>
      </c>
      <c r="I11" s="10">
        <v>5897.24</v>
      </c>
      <c r="J11" s="122">
        <v>2181.17</v>
      </c>
      <c r="K11" s="10">
        <v>4199.7299999999996</v>
      </c>
      <c r="L11" s="10">
        <v>6592.5</v>
      </c>
      <c r="M11" s="11">
        <v>1588.85</v>
      </c>
      <c r="N11" s="107">
        <f t="shared" si="0"/>
        <v>41720.21</v>
      </c>
      <c r="O11" s="19">
        <f>SUM('R 2010'!B11:M11)</f>
        <v>44078.42</v>
      </c>
      <c r="P11" s="77">
        <f t="shared" si="1"/>
        <v>-5.3500329639764699E-2</v>
      </c>
      <c r="Q11" s="37" t="s">
        <v>51</v>
      </c>
    </row>
    <row r="12" spans="1:17">
      <c r="A12" s="37" t="s">
        <v>24</v>
      </c>
      <c r="B12" s="9">
        <v>4635.49</v>
      </c>
      <c r="C12" s="10">
        <v>7315.72</v>
      </c>
      <c r="D12" s="10">
        <v>2088.39</v>
      </c>
      <c r="E12" s="10">
        <v>3082.21</v>
      </c>
      <c r="F12" s="10">
        <v>5432.52</v>
      </c>
      <c r="G12" s="10">
        <v>11876.14</v>
      </c>
      <c r="H12" s="10">
        <v>20393.169999999998</v>
      </c>
      <c r="I12" s="10">
        <v>32227.81</v>
      </c>
      <c r="J12" s="122">
        <v>24398.89</v>
      </c>
      <c r="K12" s="10">
        <v>25479.200000000001</v>
      </c>
      <c r="L12" s="10">
        <v>34682.449999999997</v>
      </c>
      <c r="M12" s="11">
        <v>16427.82</v>
      </c>
      <c r="N12" s="107">
        <f t="shared" si="0"/>
        <v>188039.81</v>
      </c>
      <c r="O12" s="19">
        <f>SUM('R 2010'!B12:M12)</f>
        <v>176300.82</v>
      </c>
      <c r="P12" s="77">
        <f t="shared" si="1"/>
        <v>6.6584999434489145E-2</v>
      </c>
      <c r="Q12" s="37" t="s">
        <v>24</v>
      </c>
    </row>
    <row r="13" spans="1:17">
      <c r="A13" s="37" t="s">
        <v>25</v>
      </c>
      <c r="B13" s="9">
        <v>15268.4</v>
      </c>
      <c r="C13" s="10">
        <v>16839.47</v>
      </c>
      <c r="D13" s="10">
        <v>10281.879999999999</v>
      </c>
      <c r="E13" s="10">
        <v>9175.0300000000007</v>
      </c>
      <c r="F13" s="10">
        <v>26336.13</v>
      </c>
      <c r="G13" s="10">
        <v>41729.81</v>
      </c>
      <c r="H13" s="10">
        <v>37470.959999999999</v>
      </c>
      <c r="I13" s="10">
        <v>58179.67</v>
      </c>
      <c r="J13" s="122">
        <v>34984.050000000003</v>
      </c>
      <c r="K13" s="10">
        <v>35439.919999999998</v>
      </c>
      <c r="L13" s="10">
        <v>46650.78</v>
      </c>
      <c r="M13" s="11">
        <v>31534.01</v>
      </c>
      <c r="N13" s="107">
        <f t="shared" si="0"/>
        <v>363890.11</v>
      </c>
      <c r="O13" s="19">
        <f>SUM('R 2010'!B13:M13)</f>
        <v>352481.47</v>
      </c>
      <c r="P13" s="77">
        <f t="shared" si="1"/>
        <v>3.2366637599417603E-2</v>
      </c>
      <c r="Q13" s="37" t="s">
        <v>25</v>
      </c>
    </row>
    <row r="14" spans="1:17">
      <c r="A14" s="37" t="s">
        <v>26</v>
      </c>
      <c r="B14" s="9">
        <v>29556.240000000002</v>
      </c>
      <c r="C14" s="10">
        <v>42639.19</v>
      </c>
      <c r="D14" s="10">
        <v>41336.83</v>
      </c>
      <c r="E14" s="10">
        <v>29677.63</v>
      </c>
      <c r="F14" s="10">
        <v>49768.44</v>
      </c>
      <c r="G14" s="10">
        <v>39990.25</v>
      </c>
      <c r="H14" s="10">
        <v>30971.15</v>
      </c>
      <c r="I14" s="10">
        <v>64657.64</v>
      </c>
      <c r="J14" s="122">
        <v>39617.47</v>
      </c>
      <c r="K14" s="10">
        <v>40107.61</v>
      </c>
      <c r="L14" s="10">
        <v>60015.58</v>
      </c>
      <c r="M14" s="11">
        <v>32273.66</v>
      </c>
      <c r="N14" s="107">
        <f t="shared" si="0"/>
        <v>500611.69000000006</v>
      </c>
      <c r="O14" s="19">
        <f>SUM('R 2010'!B14:M14)</f>
        <v>468710.36999999994</v>
      </c>
      <c r="P14" s="77">
        <f t="shared" si="1"/>
        <v>6.8061903558908066E-2</v>
      </c>
      <c r="Q14" s="37" t="s">
        <v>26</v>
      </c>
    </row>
    <row r="15" spans="1:17">
      <c r="A15" s="37" t="s">
        <v>27</v>
      </c>
      <c r="B15" s="9">
        <v>3809.81</v>
      </c>
      <c r="C15" s="10">
        <v>5814.31</v>
      </c>
      <c r="D15" s="10">
        <v>4848.29</v>
      </c>
      <c r="E15" s="10">
        <v>4558.1000000000004</v>
      </c>
      <c r="F15" s="10">
        <v>6424.04</v>
      </c>
      <c r="G15" s="10">
        <v>9651.6200000000008</v>
      </c>
      <c r="H15" s="10">
        <v>5766.92</v>
      </c>
      <c r="I15" s="10">
        <v>12672.78</v>
      </c>
      <c r="J15" s="122">
        <v>6696.07</v>
      </c>
      <c r="K15" s="10">
        <v>6176.1</v>
      </c>
      <c r="L15" s="10">
        <v>11538.58</v>
      </c>
      <c r="M15" s="11">
        <v>5977.61</v>
      </c>
      <c r="N15" s="107">
        <f t="shared" si="0"/>
        <v>83934.23000000001</v>
      </c>
      <c r="O15" s="19">
        <f>SUM('R 2010'!B15:M15)</f>
        <v>83575.799999999988</v>
      </c>
      <c r="P15" s="77">
        <f t="shared" si="1"/>
        <v>4.288681651865911E-3</v>
      </c>
      <c r="Q15" s="37" t="s">
        <v>27</v>
      </c>
    </row>
    <row r="16" spans="1:17">
      <c r="A16" s="37" t="s">
        <v>28</v>
      </c>
      <c r="B16" s="199">
        <v>6262.05</v>
      </c>
      <c r="C16" s="185">
        <v>9205.7800000000007</v>
      </c>
      <c r="D16" s="185">
        <v>3418.77</v>
      </c>
      <c r="E16" s="185">
        <v>4459.25</v>
      </c>
      <c r="F16" s="185">
        <v>7019.51</v>
      </c>
      <c r="G16" s="185">
        <v>12148.77</v>
      </c>
      <c r="H16" s="185">
        <v>21270.91</v>
      </c>
      <c r="I16" s="185">
        <v>16768.61</v>
      </c>
      <c r="J16" s="197">
        <v>13891.14</v>
      </c>
      <c r="K16" s="185">
        <v>26506.15</v>
      </c>
      <c r="L16" s="185">
        <v>12259.99</v>
      </c>
      <c r="M16" s="200">
        <v>9060.27</v>
      </c>
      <c r="N16" s="198">
        <f t="shared" si="0"/>
        <v>142271.19999999998</v>
      </c>
      <c r="O16" s="111">
        <f>SUM('R 2010'!B16:M16)</f>
        <v>134637.99000000002</v>
      </c>
      <c r="P16" s="201">
        <f t="shared" si="1"/>
        <v>5.6694325279216917E-2</v>
      </c>
      <c r="Q16" s="37" t="s">
        <v>28</v>
      </c>
    </row>
    <row r="17" spans="1:17">
      <c r="A17" s="37" t="s">
        <v>29</v>
      </c>
      <c r="B17" s="9">
        <v>11315.24</v>
      </c>
      <c r="C17" s="10">
        <v>3867.68</v>
      </c>
      <c r="D17" s="10">
        <v>0</v>
      </c>
      <c r="E17" s="10">
        <v>0</v>
      </c>
      <c r="F17" s="10">
        <v>0</v>
      </c>
      <c r="G17" s="10">
        <v>0</v>
      </c>
      <c r="H17" s="10">
        <v>1809.99</v>
      </c>
      <c r="I17" s="10">
        <v>6785.05</v>
      </c>
      <c r="J17" s="122">
        <v>2401.9899999999998</v>
      </c>
      <c r="K17" s="10">
        <v>2106.87</v>
      </c>
      <c r="L17" s="10">
        <v>7443.04</v>
      </c>
      <c r="M17" s="11">
        <v>1668.21</v>
      </c>
      <c r="N17" s="107">
        <f t="shared" si="0"/>
        <v>37398.069999999992</v>
      </c>
      <c r="O17" s="19">
        <f>SUM('R 2010'!B17:M17)</f>
        <v>36682.11</v>
      </c>
      <c r="P17" s="77">
        <f t="shared" si="1"/>
        <v>1.9517961207792922E-2</v>
      </c>
      <c r="Q17" s="37" t="s">
        <v>29</v>
      </c>
    </row>
    <row r="18" spans="1:17">
      <c r="A18" s="37" t="s">
        <v>30</v>
      </c>
      <c r="B18" s="9">
        <v>4561.21</v>
      </c>
      <c r="C18" s="10">
        <v>1039.71</v>
      </c>
      <c r="D18" s="10">
        <v>0</v>
      </c>
      <c r="E18" s="191">
        <v>0</v>
      </c>
      <c r="F18" s="10">
        <v>0</v>
      </c>
      <c r="G18" s="10">
        <v>0</v>
      </c>
      <c r="H18" s="10">
        <v>694.43</v>
      </c>
      <c r="I18" s="10">
        <v>3671.39</v>
      </c>
      <c r="J18" s="122">
        <v>2939.25</v>
      </c>
      <c r="K18" s="10">
        <v>3354.05</v>
      </c>
      <c r="L18" s="10">
        <v>9113.3799999999992</v>
      </c>
      <c r="M18" s="11">
        <v>541.23</v>
      </c>
      <c r="N18" s="107">
        <f t="shared" si="0"/>
        <v>25914.649999999998</v>
      </c>
      <c r="O18" s="19">
        <f>SUM('R 2010'!B18:M18)</f>
        <v>28303.7</v>
      </c>
      <c r="P18" s="77">
        <f t="shared" si="1"/>
        <v>-8.4407692280514701E-2</v>
      </c>
      <c r="Q18" s="37" t="s">
        <v>30</v>
      </c>
    </row>
    <row r="19" spans="1:17">
      <c r="A19" s="37" t="s">
        <v>31</v>
      </c>
      <c r="B19" s="9">
        <v>926778.36</v>
      </c>
      <c r="C19" s="10">
        <v>1612581.91</v>
      </c>
      <c r="D19" s="10">
        <v>1277187.6399999999</v>
      </c>
      <c r="E19" s="10">
        <v>1237599.8899999999</v>
      </c>
      <c r="F19" s="10">
        <v>1458550.83</v>
      </c>
      <c r="G19" s="10">
        <v>1536625.59</v>
      </c>
      <c r="H19" s="10">
        <v>1112378.1299999999</v>
      </c>
      <c r="I19" s="10">
        <v>1847997.39</v>
      </c>
      <c r="J19" s="122">
        <v>1085351.24</v>
      </c>
      <c r="K19" s="10">
        <v>1248005.8999999999</v>
      </c>
      <c r="L19" s="10">
        <v>1600317.24</v>
      </c>
      <c r="M19" s="11">
        <v>1192225.2</v>
      </c>
      <c r="N19" s="107">
        <f t="shared" si="0"/>
        <v>16135599.32</v>
      </c>
      <c r="O19" s="19">
        <f>SUM('R 2010'!B19:M19)</f>
        <v>15466575.010000002</v>
      </c>
      <c r="P19" s="77">
        <f t="shared" si="1"/>
        <v>4.3256138451301496E-2</v>
      </c>
      <c r="Q19" s="37" t="s">
        <v>31</v>
      </c>
    </row>
    <row r="20" spans="1:17">
      <c r="A20" s="37" t="s">
        <v>45</v>
      </c>
      <c r="B20" s="9">
        <v>917.16</v>
      </c>
      <c r="C20" s="10">
        <v>15049.58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5320.65</v>
      </c>
      <c r="J20" s="122">
        <v>595.04</v>
      </c>
      <c r="K20" s="10">
        <v>4366.33</v>
      </c>
      <c r="L20" s="10">
        <v>9152.73</v>
      </c>
      <c r="M20" s="11">
        <v>4117.1499999999996</v>
      </c>
      <c r="N20" s="107">
        <f t="shared" si="0"/>
        <v>39518.640000000007</v>
      </c>
      <c r="O20" s="19">
        <f>SUM('R 2010'!B20:M20)</f>
        <v>5273.29</v>
      </c>
      <c r="P20" s="77">
        <f t="shared" si="1"/>
        <v>6.4941146798298606</v>
      </c>
      <c r="Q20" s="37" t="s">
        <v>45</v>
      </c>
    </row>
    <row r="21" spans="1:17">
      <c r="A21" s="37" t="s">
        <v>32</v>
      </c>
      <c r="B21" s="9">
        <v>5163.3900000000003</v>
      </c>
      <c r="C21" s="10">
        <v>13143.6</v>
      </c>
      <c r="D21" s="10">
        <v>4513.1099999999997</v>
      </c>
      <c r="E21" s="10">
        <v>3575.46</v>
      </c>
      <c r="F21" s="10">
        <v>6648.39</v>
      </c>
      <c r="G21" s="10">
        <v>12835.5</v>
      </c>
      <c r="H21" s="10">
        <v>6329.62</v>
      </c>
      <c r="I21" s="10">
        <v>17294</v>
      </c>
      <c r="J21" s="122">
        <v>4070.46</v>
      </c>
      <c r="K21" s="185">
        <v>6044.67</v>
      </c>
      <c r="L21" s="10">
        <v>21589.46</v>
      </c>
      <c r="M21" s="11">
        <v>895.81</v>
      </c>
      <c r="N21" s="107">
        <f t="shared" si="0"/>
        <v>102103.47</v>
      </c>
      <c r="O21" s="19">
        <f>SUM('R 2010'!B21:M21)</f>
        <v>94003.699999999983</v>
      </c>
      <c r="P21" s="77">
        <f t="shared" ref="P21:P31" si="2">N21/O21-1</f>
        <v>8.6164374381008546E-2</v>
      </c>
      <c r="Q21" s="37" t="s">
        <v>32</v>
      </c>
    </row>
    <row r="22" spans="1:17">
      <c r="A22" s="37" t="s">
        <v>33</v>
      </c>
      <c r="B22" s="9">
        <v>12597.13</v>
      </c>
      <c r="C22" s="10">
        <v>19415.490000000002</v>
      </c>
      <c r="D22" s="10">
        <v>10317.89</v>
      </c>
      <c r="E22" s="10">
        <v>12614.54</v>
      </c>
      <c r="F22" s="10">
        <v>17934.29</v>
      </c>
      <c r="G22" s="10">
        <v>18164.77</v>
      </c>
      <c r="H22" s="10">
        <v>11416.26</v>
      </c>
      <c r="I22" s="10">
        <v>29549.53</v>
      </c>
      <c r="J22" s="122">
        <v>13635.51</v>
      </c>
      <c r="K22" s="10">
        <v>12508.28</v>
      </c>
      <c r="L22" s="10">
        <v>27667.040000000001</v>
      </c>
      <c r="M22" s="11">
        <v>10700.07</v>
      </c>
      <c r="N22" s="107">
        <f t="shared" si="0"/>
        <v>196520.80000000002</v>
      </c>
      <c r="O22" s="19">
        <f>SUM('R 2010'!B22:M22)</f>
        <v>189930.01</v>
      </c>
      <c r="P22" s="77">
        <f t="shared" si="2"/>
        <v>3.4701151229339811E-2</v>
      </c>
      <c r="Q22" s="37" t="s">
        <v>33</v>
      </c>
    </row>
    <row r="23" spans="1:17">
      <c r="A23" s="37" t="s">
        <v>34</v>
      </c>
      <c r="B23" s="9">
        <v>81515.55</v>
      </c>
      <c r="C23" s="10">
        <v>206295.57</v>
      </c>
      <c r="D23" s="10">
        <v>258232.97</v>
      </c>
      <c r="E23" s="10">
        <v>171161.33</v>
      </c>
      <c r="F23" s="10">
        <v>317558.5</v>
      </c>
      <c r="G23" s="10">
        <v>116278.31</v>
      </c>
      <c r="H23" s="10">
        <v>54894.62</v>
      </c>
      <c r="I23" s="10">
        <v>175505.96</v>
      </c>
      <c r="J23" s="122">
        <v>130834.62</v>
      </c>
      <c r="K23" s="10">
        <v>127744.87</v>
      </c>
      <c r="L23" s="10">
        <v>155802.78</v>
      </c>
      <c r="M23" s="11">
        <v>63906.7</v>
      </c>
      <c r="N23" s="107">
        <f t="shared" si="0"/>
        <v>1859731.7800000003</v>
      </c>
      <c r="O23" s="19">
        <f>SUM('R 2010'!B23:M23)</f>
        <v>1617004.59</v>
      </c>
      <c r="P23" s="77">
        <f t="shared" si="2"/>
        <v>0.15010915336981201</v>
      </c>
      <c r="Q23" s="37" t="s">
        <v>34</v>
      </c>
    </row>
    <row r="24" spans="1:17">
      <c r="A24" s="37" t="s">
        <v>35</v>
      </c>
      <c r="B24" s="9">
        <v>23515.22</v>
      </c>
      <c r="C24" s="10">
        <v>43757.03</v>
      </c>
      <c r="D24" s="10">
        <v>22526.42</v>
      </c>
      <c r="E24" s="10">
        <v>27100.240000000002</v>
      </c>
      <c r="F24" s="10">
        <v>33557.35</v>
      </c>
      <c r="G24" s="10">
        <v>43235.65</v>
      </c>
      <c r="H24" s="10">
        <v>32411.279999999999</v>
      </c>
      <c r="I24" s="10">
        <v>60549.56</v>
      </c>
      <c r="J24" s="122">
        <v>33351</v>
      </c>
      <c r="K24" s="10">
        <v>28497.56</v>
      </c>
      <c r="L24" s="10">
        <v>50801.99</v>
      </c>
      <c r="M24" s="11">
        <v>32327.42</v>
      </c>
      <c r="N24" s="107">
        <f t="shared" si="0"/>
        <v>431630.72</v>
      </c>
      <c r="O24" s="19">
        <f>SUM('R 2010'!B24:M24)</f>
        <v>410847.66000000003</v>
      </c>
      <c r="P24" s="77">
        <f t="shared" si="2"/>
        <v>5.0585805940819961E-2</v>
      </c>
      <c r="Q24" s="37" t="s">
        <v>35</v>
      </c>
    </row>
    <row r="25" spans="1:17">
      <c r="A25" s="37" t="s">
        <v>36</v>
      </c>
      <c r="B25" s="9">
        <v>29032.14</v>
      </c>
      <c r="C25" s="10">
        <v>31313.21</v>
      </c>
      <c r="D25" s="10">
        <v>15673.15</v>
      </c>
      <c r="E25" s="10">
        <v>22357.79</v>
      </c>
      <c r="F25" s="10">
        <v>50681.34</v>
      </c>
      <c r="G25" s="10">
        <v>6365.77</v>
      </c>
      <c r="H25" s="10">
        <v>25487.200000000001</v>
      </c>
      <c r="I25" s="10">
        <v>50575.29</v>
      </c>
      <c r="J25" s="122">
        <v>17760.79</v>
      </c>
      <c r="K25" s="10">
        <v>28256.15</v>
      </c>
      <c r="L25" s="10">
        <v>42302.9</v>
      </c>
      <c r="M25" s="11">
        <v>15796.05</v>
      </c>
      <c r="N25" s="107">
        <f t="shared" si="0"/>
        <v>335601.78</v>
      </c>
      <c r="O25" s="19">
        <f>SUM('R 2010'!B25:M25)</f>
        <v>318798.07999999996</v>
      </c>
      <c r="P25" s="77">
        <f t="shared" si="2"/>
        <v>5.2709539530476635E-2</v>
      </c>
      <c r="Q25" s="37" t="s">
        <v>36</v>
      </c>
    </row>
    <row r="26" spans="1:17">
      <c r="A26" s="37" t="s">
        <v>37</v>
      </c>
      <c r="B26" s="9">
        <v>277503.2</v>
      </c>
      <c r="C26" s="10">
        <v>465604.8</v>
      </c>
      <c r="D26" s="10">
        <v>353026.11</v>
      </c>
      <c r="E26" s="10">
        <v>327631.35999999999</v>
      </c>
      <c r="F26" s="10">
        <v>439692.25</v>
      </c>
      <c r="G26" s="10">
        <v>433695.01</v>
      </c>
      <c r="H26" s="10">
        <v>310353.3</v>
      </c>
      <c r="I26" s="10">
        <v>556158.02</v>
      </c>
      <c r="J26" s="122">
        <v>325969.11</v>
      </c>
      <c r="K26" s="10">
        <v>378065.65</v>
      </c>
      <c r="L26" s="10">
        <v>514484.04</v>
      </c>
      <c r="M26" s="11">
        <v>371627.23</v>
      </c>
      <c r="N26" s="107">
        <f t="shared" si="0"/>
        <v>4753810.0799999982</v>
      </c>
      <c r="O26" s="19">
        <f>SUM('R 2010'!B26:M26)</f>
        <v>4505067.6900000004</v>
      </c>
      <c r="P26" s="77">
        <f t="shared" si="2"/>
        <v>5.5213907340867951E-2</v>
      </c>
      <c r="Q26" s="37" t="s">
        <v>37</v>
      </c>
    </row>
    <row r="27" spans="1:17">
      <c r="A27" s="37" t="s">
        <v>38</v>
      </c>
      <c r="B27" s="9">
        <v>23734.26</v>
      </c>
      <c r="C27" s="10">
        <v>32494.15</v>
      </c>
      <c r="D27" s="10">
        <v>29119.55</v>
      </c>
      <c r="E27" s="10">
        <v>12254.26</v>
      </c>
      <c r="F27" s="10">
        <v>43844.12</v>
      </c>
      <c r="G27" s="10">
        <v>22509.1</v>
      </c>
      <c r="H27" s="10">
        <v>23426.94</v>
      </c>
      <c r="I27" s="10">
        <v>44726.34</v>
      </c>
      <c r="J27" s="122">
        <v>33141.07</v>
      </c>
      <c r="K27" s="10">
        <v>31599.54</v>
      </c>
      <c r="L27" s="10">
        <v>40997.120000000003</v>
      </c>
      <c r="M27" s="11">
        <v>29464.959999999999</v>
      </c>
      <c r="N27" s="107">
        <f t="shared" si="0"/>
        <v>367311.41</v>
      </c>
      <c r="O27" s="19">
        <f>SUM('R 2010'!B27:M27)</f>
        <v>321425.29000000004</v>
      </c>
      <c r="P27" s="77">
        <f t="shared" si="2"/>
        <v>0.14275827518114692</v>
      </c>
      <c r="Q27" s="37" t="s">
        <v>38</v>
      </c>
    </row>
    <row r="28" spans="1:17">
      <c r="A28" s="37" t="s">
        <v>39</v>
      </c>
      <c r="B28" s="199">
        <v>111262.6</v>
      </c>
      <c r="C28" s="185">
        <v>150128.03</v>
      </c>
      <c r="D28" s="185">
        <v>112634.4</v>
      </c>
      <c r="E28" s="185">
        <v>126529.77</v>
      </c>
      <c r="F28" s="185">
        <v>165480.88</v>
      </c>
      <c r="G28" s="185">
        <v>192438.96</v>
      </c>
      <c r="H28" s="185">
        <v>136414.22</v>
      </c>
      <c r="I28" s="185">
        <v>240990.45</v>
      </c>
      <c r="J28" s="197">
        <v>117332.05</v>
      </c>
      <c r="K28" s="185">
        <v>139856.5</v>
      </c>
      <c r="L28" s="185">
        <v>214858.34</v>
      </c>
      <c r="M28" s="200">
        <v>127934.62</v>
      </c>
      <c r="N28" s="198">
        <f t="shared" si="0"/>
        <v>1835860.8200000003</v>
      </c>
      <c r="O28" s="111">
        <f>SUM('R 2010'!B28:M28)</f>
        <v>1738878.83</v>
      </c>
      <c r="P28" s="201">
        <f t="shared" si="2"/>
        <v>5.5772713041770894E-2</v>
      </c>
      <c r="Q28" s="37" t="s">
        <v>97</v>
      </c>
    </row>
    <row r="29" spans="1:17">
      <c r="A29" s="37" t="s">
        <v>40</v>
      </c>
      <c r="B29" s="9">
        <v>489.77</v>
      </c>
      <c r="C29" s="10">
        <v>3958.26</v>
      </c>
      <c r="D29" s="10">
        <v>748.83</v>
      </c>
      <c r="E29" s="10">
        <v>1949.26</v>
      </c>
      <c r="F29" s="10">
        <v>902.67</v>
      </c>
      <c r="G29" s="10">
        <v>2882.34</v>
      </c>
      <c r="H29" s="10">
        <v>4557.43</v>
      </c>
      <c r="I29" s="10">
        <v>12837.45</v>
      </c>
      <c r="J29" s="122">
        <v>72.13</v>
      </c>
      <c r="K29" s="10">
        <v>3981.23</v>
      </c>
      <c r="L29" s="10">
        <v>13511.82</v>
      </c>
      <c r="M29" s="11">
        <v>833.9</v>
      </c>
      <c r="N29" s="107">
        <f t="shared" si="0"/>
        <v>46725.090000000004</v>
      </c>
      <c r="O29" s="19">
        <f>SUM('R 2010'!B29:M29)</f>
        <v>29802.59</v>
      </c>
      <c r="P29" s="77">
        <f t="shared" si="2"/>
        <v>0.56781977673752526</v>
      </c>
      <c r="Q29" s="37" t="s">
        <v>40</v>
      </c>
    </row>
    <row r="30" spans="1:17" ht="13" thickBot="1">
      <c r="A30" s="38" t="s">
        <v>41</v>
      </c>
      <c r="B30" s="12">
        <v>150863.53</v>
      </c>
      <c r="C30" s="13">
        <v>239091.08</v>
      </c>
      <c r="D30" s="13">
        <v>195762.18</v>
      </c>
      <c r="E30" s="13">
        <v>163393.39000000001</v>
      </c>
      <c r="F30" s="13">
        <v>222326.03</v>
      </c>
      <c r="G30" s="13">
        <v>232512.89</v>
      </c>
      <c r="H30" s="13">
        <v>160558.37</v>
      </c>
      <c r="I30" s="13">
        <v>277086.05</v>
      </c>
      <c r="J30" s="123">
        <v>171065.54</v>
      </c>
      <c r="K30" s="13">
        <v>169549.21</v>
      </c>
      <c r="L30" s="13">
        <v>274374.7</v>
      </c>
      <c r="M30" s="14">
        <v>178733.47</v>
      </c>
      <c r="N30" s="110">
        <f t="shared" si="0"/>
        <v>2435316.4400000004</v>
      </c>
      <c r="O30" s="19">
        <f>SUM('R 2010'!B30:M30)</f>
        <v>2365290.3399999994</v>
      </c>
      <c r="P30" s="78">
        <f t="shared" si="2"/>
        <v>2.9605710054183554E-2</v>
      </c>
      <c r="Q30" s="38" t="s">
        <v>41</v>
      </c>
    </row>
    <row r="31" spans="1:17" ht="14" thickTop="1" thickBot="1">
      <c r="A31" s="137" t="s">
        <v>0</v>
      </c>
      <c r="B31" s="138">
        <f t="shared" ref="B31:O31" si="3">SUM(B4:B30)</f>
        <v>2010058.0979999998</v>
      </c>
      <c r="C31" s="139">
        <f t="shared" si="3"/>
        <v>3408464.9199999995</v>
      </c>
      <c r="D31" s="139">
        <f t="shared" si="3"/>
        <v>2671407.3299999996</v>
      </c>
      <c r="E31" s="139">
        <f t="shared" si="3"/>
        <v>2507285.7799999998</v>
      </c>
      <c r="F31" s="139">
        <f t="shared" si="3"/>
        <v>3262683.7399999998</v>
      </c>
      <c r="G31" s="139">
        <f t="shared" si="3"/>
        <v>3195031.0300000003</v>
      </c>
      <c r="H31" s="139">
        <f t="shared" si="3"/>
        <v>2346607.9900000007</v>
      </c>
      <c r="I31" s="139">
        <f t="shared" si="3"/>
        <v>4123339.8</v>
      </c>
      <c r="J31" s="139">
        <f t="shared" si="3"/>
        <v>2419674.9499999997</v>
      </c>
      <c r="K31" s="139">
        <f t="shared" si="3"/>
        <v>2718889.5799999996</v>
      </c>
      <c r="L31" s="139">
        <f t="shared" si="3"/>
        <v>3676149.79</v>
      </c>
      <c r="M31" s="140">
        <f t="shared" si="3"/>
        <v>2476002.87</v>
      </c>
      <c r="N31" s="24">
        <f t="shared" si="3"/>
        <v>34815595.877999999</v>
      </c>
      <c r="O31" s="127">
        <f t="shared" si="3"/>
        <v>33076457.456</v>
      </c>
      <c r="P31" s="113">
        <f t="shared" si="2"/>
        <v>5.257934361058747E-2</v>
      </c>
      <c r="Q31" s="142"/>
    </row>
    <row r="32" spans="1:17">
      <c r="B32" s="28">
        <f>B31/'R 2010'!B31-1</f>
        <v>-0.11513887460936012</v>
      </c>
      <c r="C32" s="28">
        <f>C31/'R 2010'!C31-1</f>
        <v>0.12965846564956784</v>
      </c>
      <c r="D32" s="28">
        <f>D31/'R 2010'!D31-1</f>
        <v>5.1375226429370535E-2</v>
      </c>
      <c r="E32" s="28">
        <f>E31/'R 2010'!E31-1</f>
        <v>8.8858960188818337E-2</v>
      </c>
      <c r="F32" s="28">
        <f>F31/'R 2010'!F31-1</f>
        <v>-6.6538928509008333E-2</v>
      </c>
      <c r="G32" s="28">
        <f>G31/'R 2010'!G31-1</f>
        <v>0.3183814633487736</v>
      </c>
      <c r="H32" s="28">
        <f>H31/'R 2010'!H31-1</f>
        <v>-4.5416873302130623E-2</v>
      </c>
      <c r="I32" s="28">
        <f>I31/'R 2010'!I31-1</f>
        <v>0.16054906002175251</v>
      </c>
      <c r="J32" s="28">
        <f>J31/'R 2010'!J31-1</f>
        <v>-6.5429950839530737E-2</v>
      </c>
      <c r="K32" s="28">
        <f>K31/'R 2010'!K31-1</f>
        <v>9.7534160402303227E-2</v>
      </c>
      <c r="L32" s="28">
        <f>L31/'R 2010'!L31-1</f>
        <v>5.5757894205629377E-2</v>
      </c>
      <c r="M32" s="28">
        <f>M31/'R 2010'!M31-1</f>
        <v>4.1277893622782003E-3</v>
      </c>
      <c r="N32" s="28"/>
    </row>
    <row r="34" spans="1:6">
      <c r="C34" s="100"/>
    </row>
    <row r="37" spans="1:6">
      <c r="A37" s="145"/>
      <c r="F37" s="100"/>
    </row>
    <row r="39" spans="1:6">
      <c r="F39" s="196"/>
    </row>
  </sheetData>
  <mergeCells count="1">
    <mergeCell ref="A1:P1"/>
  </mergeCells>
  <phoneticPr fontId="0" type="noConversion"/>
  <printOptions horizontalCentered="1"/>
  <pageMargins left="0" right="0" top="1" bottom="1" header="0.5" footer="0.5"/>
  <pageSetup scale="86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 enableFormatConditionsCalculation="0">
    <tabColor rgb="FFFFFF00"/>
  </sheetPr>
  <dimension ref="A1:Q37"/>
  <sheetViews>
    <sheetView workbookViewId="0">
      <pane xSplit="1" ySplit="3" topLeftCell="B4" activePane="bottomRight" state="frozen"/>
      <selection activeCell="H31" sqref="H31"/>
      <selection pane="topRight" activeCell="H31" sqref="H31"/>
      <selection pane="bottomLeft" activeCell="H31" sqref="H31"/>
      <selection pane="bottomRight" activeCell="H31" sqref="H31"/>
    </sheetView>
  </sheetViews>
  <sheetFormatPr baseColWidth="10" defaultColWidth="8.83203125" defaultRowHeight="12" x14ac:dyDescent="0"/>
  <cols>
    <col min="2" max="2" width="9.5" bestFit="1" customWidth="1"/>
    <col min="11" max="11" width="10.33203125" bestFit="1" customWidth="1"/>
    <col min="14" max="15" width="9.5" bestFit="1" customWidth="1"/>
  </cols>
  <sheetData>
    <row r="1" spans="1:17" ht="21">
      <c r="A1" s="691" t="s">
        <v>106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17" ht="13" thickBo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3" thickBot="1">
      <c r="A3" s="129" t="s">
        <v>42</v>
      </c>
      <c r="B3" s="130" t="s">
        <v>2</v>
      </c>
      <c r="C3" s="131" t="s">
        <v>3</v>
      </c>
      <c r="D3" s="131" t="s">
        <v>4</v>
      </c>
      <c r="E3" s="131" t="s">
        <v>5</v>
      </c>
      <c r="F3" s="131" t="s">
        <v>6</v>
      </c>
      <c r="G3" s="131" t="s">
        <v>7</v>
      </c>
      <c r="H3" s="131" t="s">
        <v>8</v>
      </c>
      <c r="I3" s="131" t="s">
        <v>9</v>
      </c>
      <c r="J3" s="131" t="s">
        <v>10</v>
      </c>
      <c r="K3" s="131" t="s">
        <v>11</v>
      </c>
      <c r="L3" s="131" t="s">
        <v>12</v>
      </c>
      <c r="M3" s="132" t="s">
        <v>13</v>
      </c>
      <c r="N3" s="25" t="s">
        <v>107</v>
      </c>
      <c r="O3" s="131" t="s">
        <v>100</v>
      </c>
      <c r="P3" s="135" t="s">
        <v>16</v>
      </c>
      <c r="Q3" s="136" t="s">
        <v>42</v>
      </c>
    </row>
    <row r="4" spans="1:17">
      <c r="A4" s="37" t="s">
        <v>17</v>
      </c>
      <c r="B4" s="9">
        <v>5021.6099999999997</v>
      </c>
      <c r="C4" s="10">
        <v>5761.38</v>
      </c>
      <c r="D4" s="10">
        <v>4282.2700000000004</v>
      </c>
      <c r="E4" s="10">
        <v>2827.15</v>
      </c>
      <c r="F4" s="10">
        <v>7137.25</v>
      </c>
      <c r="G4" s="10">
        <v>5341.44</v>
      </c>
      <c r="H4" s="10">
        <v>4699.1000000000004</v>
      </c>
      <c r="I4" s="10">
        <v>11954.59</v>
      </c>
      <c r="J4" s="122">
        <v>8071.8</v>
      </c>
      <c r="K4" s="124">
        <v>6905.6</v>
      </c>
      <c r="L4" s="10">
        <v>10794.08</v>
      </c>
      <c r="M4" s="11">
        <v>4791.9799999999996</v>
      </c>
      <c r="N4" s="109">
        <f t="shared" ref="N4:N30" si="0">SUM(B4:M4)</f>
        <v>77588.249999999985</v>
      </c>
      <c r="O4" s="19">
        <f>SUM('R 2009'!B4:M4)</f>
        <v>79848.600000000006</v>
      </c>
      <c r="P4" s="77">
        <f t="shared" ref="P4:P11" si="1">N4/O4-1</f>
        <v>-2.8307947791195054E-2</v>
      </c>
      <c r="Q4" s="37" t="s">
        <v>17</v>
      </c>
    </row>
    <row r="5" spans="1:17">
      <c r="A5" s="37" t="s">
        <v>18</v>
      </c>
      <c r="B5" s="9">
        <v>26821.32</v>
      </c>
      <c r="C5" s="10">
        <v>36805.949999999997</v>
      </c>
      <c r="D5" s="10">
        <v>19810.189999999999</v>
      </c>
      <c r="E5" s="10">
        <v>21262.45</v>
      </c>
      <c r="F5" s="10">
        <v>59151.19</v>
      </c>
      <c r="G5" s="10">
        <v>9338.34</v>
      </c>
      <c r="H5" s="10">
        <v>27014.01</v>
      </c>
      <c r="I5" s="10">
        <v>50990.87</v>
      </c>
      <c r="J5" s="122">
        <v>35865.300000000003</v>
      </c>
      <c r="K5" s="10">
        <v>22277.18</v>
      </c>
      <c r="L5" s="10">
        <v>46260.89</v>
      </c>
      <c r="M5" s="11">
        <v>28867.036</v>
      </c>
      <c r="N5" s="107">
        <f t="shared" si="0"/>
        <v>384464.72600000002</v>
      </c>
      <c r="O5" s="19">
        <f>SUM('R 2009'!B5:M5)</f>
        <v>369782.07</v>
      </c>
      <c r="P5" s="77">
        <f t="shared" si="1"/>
        <v>3.970624103002085E-2</v>
      </c>
      <c r="Q5" s="37" t="s">
        <v>18</v>
      </c>
    </row>
    <row r="6" spans="1:17">
      <c r="A6" s="37" t="s">
        <v>19</v>
      </c>
      <c r="B6" s="9">
        <v>70804.259999999995</v>
      </c>
      <c r="C6" s="10">
        <v>91364.47</v>
      </c>
      <c r="D6" s="10">
        <v>72553.350000000006</v>
      </c>
      <c r="E6" s="10">
        <v>65086.27</v>
      </c>
      <c r="F6" s="10">
        <v>108236.01</v>
      </c>
      <c r="G6" s="10">
        <v>54185.919999999998</v>
      </c>
      <c r="H6" s="10">
        <v>73595.77</v>
      </c>
      <c r="I6" s="10">
        <v>106597.09</v>
      </c>
      <c r="J6" s="122">
        <v>66028.320000000007</v>
      </c>
      <c r="K6" s="10">
        <v>74256.649999999994</v>
      </c>
      <c r="L6" s="10">
        <v>112788.54</v>
      </c>
      <c r="M6" s="11">
        <v>77174.13</v>
      </c>
      <c r="N6" s="107">
        <f t="shared" si="0"/>
        <v>972670.78</v>
      </c>
      <c r="O6" s="19">
        <f>SUM('R 2009'!B6:M6)</f>
        <v>949603.96000000008</v>
      </c>
      <c r="P6" s="77">
        <f t="shared" si="1"/>
        <v>2.4290989687953735E-2</v>
      </c>
      <c r="Q6" s="37" t="s">
        <v>19</v>
      </c>
    </row>
    <row r="7" spans="1:17">
      <c r="A7" s="37" t="s">
        <v>20</v>
      </c>
      <c r="B7" s="9">
        <v>16125.92</v>
      </c>
      <c r="C7" s="10">
        <v>22015.46</v>
      </c>
      <c r="D7" s="10">
        <v>13206.49</v>
      </c>
      <c r="E7" s="10">
        <v>11282.78</v>
      </c>
      <c r="F7" s="10">
        <v>21594.26</v>
      </c>
      <c r="G7" s="10">
        <v>16215.23</v>
      </c>
      <c r="H7" s="10">
        <v>14363.75</v>
      </c>
      <c r="I7" s="10">
        <v>28808.7</v>
      </c>
      <c r="J7" s="122">
        <v>15166.73</v>
      </c>
      <c r="K7" s="10">
        <v>15315.92</v>
      </c>
      <c r="L7" s="10">
        <v>25706.94</v>
      </c>
      <c r="M7" s="11">
        <v>15590.52</v>
      </c>
      <c r="N7" s="107">
        <f t="shared" si="0"/>
        <v>215392.7</v>
      </c>
      <c r="O7" s="19">
        <f>SUM('R 2009'!B7:M7)</f>
        <v>220339.35999999996</v>
      </c>
      <c r="P7" s="77">
        <f t="shared" si="1"/>
        <v>-2.2450187746755446E-2</v>
      </c>
      <c r="Q7" s="37" t="s">
        <v>20</v>
      </c>
    </row>
    <row r="8" spans="1:17">
      <c r="A8" s="37" t="s">
        <v>21</v>
      </c>
      <c r="B8" s="9">
        <v>667.47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2959.57</v>
      </c>
      <c r="J8" s="122">
        <v>0</v>
      </c>
      <c r="K8" s="10">
        <v>694</v>
      </c>
      <c r="L8" s="10">
        <v>2147.0700000000002</v>
      </c>
      <c r="M8" s="11">
        <v>865.64</v>
      </c>
      <c r="N8" s="107">
        <f t="shared" si="0"/>
        <v>7333.7500000000009</v>
      </c>
      <c r="O8" s="19">
        <f>SUM('R 2009'!B8:M8)</f>
        <v>22753.14</v>
      </c>
      <c r="P8" s="77">
        <f t="shared" si="1"/>
        <v>-0.67768184962602951</v>
      </c>
      <c r="Q8" s="37" t="s">
        <v>21</v>
      </c>
    </row>
    <row r="9" spans="1:17">
      <c r="A9" s="37" t="s">
        <v>22</v>
      </c>
      <c r="B9" s="9">
        <v>210692.47</v>
      </c>
      <c r="C9" s="10">
        <v>247289.31</v>
      </c>
      <c r="D9" s="10">
        <v>231775.64</v>
      </c>
      <c r="E9" s="10">
        <v>176248.1</v>
      </c>
      <c r="F9" s="10">
        <v>289595.71999999997</v>
      </c>
      <c r="G9" s="10">
        <v>212857.66</v>
      </c>
      <c r="H9" s="10">
        <v>218937.62</v>
      </c>
      <c r="I9" s="10">
        <v>346776.8</v>
      </c>
      <c r="J9" s="122">
        <v>214713.07</v>
      </c>
      <c r="K9" s="10">
        <v>239818.85</v>
      </c>
      <c r="L9" s="10">
        <v>294729.82</v>
      </c>
      <c r="M9" s="11">
        <v>214976.18</v>
      </c>
      <c r="N9" s="107">
        <f t="shared" si="0"/>
        <v>2898411.24</v>
      </c>
      <c r="O9" s="19">
        <f>SUM('R 2009'!B9:M9)</f>
        <v>2828664.76</v>
      </c>
      <c r="P9" s="77">
        <f t="shared" si="1"/>
        <v>2.4657032882185792E-2</v>
      </c>
      <c r="Q9" s="37" t="s">
        <v>22</v>
      </c>
    </row>
    <row r="10" spans="1:17">
      <c r="A10" s="37" t="s">
        <v>23</v>
      </c>
      <c r="B10" s="9">
        <v>10954.91</v>
      </c>
      <c r="C10" s="10">
        <v>19503.38</v>
      </c>
      <c r="D10" s="10">
        <v>7124.97</v>
      </c>
      <c r="E10" s="10">
        <v>5583.72</v>
      </c>
      <c r="F10" s="10">
        <v>13567.29</v>
      </c>
      <c r="G10" s="10">
        <v>7550.17</v>
      </c>
      <c r="H10" s="10">
        <v>10908.8</v>
      </c>
      <c r="I10" s="10">
        <v>17736.580000000002</v>
      </c>
      <c r="J10" s="122">
        <v>7141.41</v>
      </c>
      <c r="K10" s="10">
        <v>6408.24</v>
      </c>
      <c r="L10" s="10">
        <v>19392.39</v>
      </c>
      <c r="M10" s="11">
        <v>7056.39</v>
      </c>
      <c r="N10" s="107">
        <f t="shared" si="0"/>
        <v>132928.25000000003</v>
      </c>
      <c r="O10" s="19">
        <f>SUM('R 2009'!B10:M10)</f>
        <v>117230.67</v>
      </c>
      <c r="P10" s="77">
        <f t="shared" si="1"/>
        <v>0.13390335481320736</v>
      </c>
      <c r="Q10" s="37" t="s">
        <v>23</v>
      </c>
    </row>
    <row r="11" spans="1:17">
      <c r="A11" s="37" t="s">
        <v>51</v>
      </c>
      <c r="B11" s="9">
        <v>1784.67</v>
      </c>
      <c r="C11" s="10">
        <v>871.32</v>
      </c>
      <c r="D11" s="10">
        <v>1123.8</v>
      </c>
      <c r="E11" s="10">
        <v>1074.95</v>
      </c>
      <c r="F11" s="10">
        <v>4619.42</v>
      </c>
      <c r="G11" s="10">
        <v>615.62</v>
      </c>
      <c r="H11" s="10">
        <v>2317.92</v>
      </c>
      <c r="I11" s="10">
        <v>4760.51</v>
      </c>
      <c r="J11" s="122">
        <v>6038.09</v>
      </c>
      <c r="K11" s="10">
        <v>11115.19</v>
      </c>
      <c r="L11" s="10">
        <v>5445.46</v>
      </c>
      <c r="M11" s="11">
        <v>4311.47</v>
      </c>
      <c r="N11" s="107">
        <f t="shared" si="0"/>
        <v>44078.42</v>
      </c>
      <c r="O11" s="19">
        <f>SUM('R 2009'!B11:M11)</f>
        <v>19669.719999999998</v>
      </c>
      <c r="P11" s="77">
        <f t="shared" si="1"/>
        <v>1.240927679702609</v>
      </c>
      <c r="Q11" s="37" t="s">
        <v>51</v>
      </c>
    </row>
    <row r="12" spans="1:17">
      <c r="A12" s="37" t="s">
        <v>24</v>
      </c>
      <c r="B12" s="9">
        <v>3200.98</v>
      </c>
      <c r="C12" s="10">
        <v>4538.79</v>
      </c>
      <c r="D12" s="10">
        <v>2103.13</v>
      </c>
      <c r="E12" s="10">
        <v>1591.3</v>
      </c>
      <c r="F12" s="10">
        <v>6048.71</v>
      </c>
      <c r="G12" s="10">
        <v>9389.39</v>
      </c>
      <c r="H12" s="10">
        <v>18431.97</v>
      </c>
      <c r="I12" s="10">
        <v>29211.77</v>
      </c>
      <c r="J12" s="122">
        <v>27354.25</v>
      </c>
      <c r="K12" s="10">
        <v>23278.16</v>
      </c>
      <c r="L12" s="10">
        <v>39743.69</v>
      </c>
      <c r="M12" s="11">
        <v>11408.68</v>
      </c>
      <c r="N12" s="107">
        <f t="shared" si="0"/>
        <v>176300.82</v>
      </c>
      <c r="O12" s="19">
        <f>SUM('R 2009'!B12:M12)</f>
        <v>168136.86</v>
      </c>
      <c r="P12" s="77">
        <f t="shared" ref="P12:P31" si="2">N12/O12-1</f>
        <v>4.8555444653837432E-2</v>
      </c>
      <c r="Q12" s="37" t="s">
        <v>24</v>
      </c>
    </row>
    <row r="13" spans="1:17">
      <c r="A13" s="37" t="s">
        <v>25</v>
      </c>
      <c r="B13" s="9">
        <v>18432.53</v>
      </c>
      <c r="C13" s="10">
        <v>22821.95</v>
      </c>
      <c r="D13" s="10">
        <v>6505.61</v>
      </c>
      <c r="E13" s="10">
        <v>13815.31</v>
      </c>
      <c r="F13" s="10">
        <v>29980.53</v>
      </c>
      <c r="G13" s="10">
        <v>32718.65</v>
      </c>
      <c r="H13" s="10">
        <v>33413.51</v>
      </c>
      <c r="I13" s="10">
        <v>47450.23</v>
      </c>
      <c r="J13" s="122">
        <v>38131.199999999997</v>
      </c>
      <c r="K13" s="10">
        <v>35861.480000000003</v>
      </c>
      <c r="L13" s="10">
        <v>42652.29</v>
      </c>
      <c r="M13" s="11">
        <v>30698.18</v>
      </c>
      <c r="N13" s="107">
        <f t="shared" si="0"/>
        <v>352481.47</v>
      </c>
      <c r="O13" s="19">
        <f>SUM('R 2009'!B13:M13)</f>
        <v>332338.05</v>
      </c>
      <c r="P13" s="77">
        <f t="shared" si="2"/>
        <v>6.0611236059187279E-2</v>
      </c>
      <c r="Q13" s="37" t="s">
        <v>25</v>
      </c>
    </row>
    <row r="14" spans="1:17">
      <c r="A14" s="37" t="s">
        <v>26</v>
      </c>
      <c r="B14" s="9">
        <v>30622.22</v>
      </c>
      <c r="C14" s="10">
        <v>41571.94</v>
      </c>
      <c r="D14" s="10">
        <v>31557.58</v>
      </c>
      <c r="E14" s="10">
        <v>33724.5</v>
      </c>
      <c r="F14" s="10">
        <v>43273.89</v>
      </c>
      <c r="G14" s="10">
        <v>38246.35</v>
      </c>
      <c r="H14" s="10">
        <v>30712.89</v>
      </c>
      <c r="I14" s="10">
        <v>54393.84</v>
      </c>
      <c r="J14" s="122">
        <v>38357.480000000003</v>
      </c>
      <c r="K14" s="10">
        <v>33683.25</v>
      </c>
      <c r="L14" s="10">
        <v>61671.82</v>
      </c>
      <c r="M14" s="11">
        <v>30894.61</v>
      </c>
      <c r="N14" s="107">
        <f t="shared" si="0"/>
        <v>468710.36999999994</v>
      </c>
      <c r="O14" s="19">
        <f>SUM('R 2009'!B14:M14)</f>
        <v>458375.14</v>
      </c>
      <c r="P14" s="77">
        <f t="shared" si="2"/>
        <v>2.2547536064019269E-2</v>
      </c>
      <c r="Q14" s="37" t="s">
        <v>26</v>
      </c>
    </row>
    <row r="15" spans="1:17">
      <c r="A15" s="37" t="s">
        <v>27</v>
      </c>
      <c r="B15" s="9">
        <v>5060.24</v>
      </c>
      <c r="C15" s="10">
        <v>7126.26</v>
      </c>
      <c r="D15" s="10">
        <v>4233.99</v>
      </c>
      <c r="E15" s="10">
        <v>4676.87</v>
      </c>
      <c r="F15" s="10">
        <v>7027</v>
      </c>
      <c r="G15" s="10">
        <v>5692.57</v>
      </c>
      <c r="H15" s="10">
        <v>6579.47</v>
      </c>
      <c r="I15" s="10">
        <v>11782.23</v>
      </c>
      <c r="J15" s="122">
        <v>7157.96</v>
      </c>
      <c r="K15" s="10">
        <v>5699.54</v>
      </c>
      <c r="L15" s="10">
        <v>9659.77</v>
      </c>
      <c r="M15" s="11">
        <v>8879.9</v>
      </c>
      <c r="N15" s="107">
        <f t="shared" si="0"/>
        <v>83575.799999999988</v>
      </c>
      <c r="O15" s="19">
        <f>SUM('R 2009'!B15:M15)</f>
        <v>76649.100000000006</v>
      </c>
      <c r="P15" s="77">
        <f t="shared" si="2"/>
        <v>9.0368967150298962E-2</v>
      </c>
      <c r="Q15" s="37" t="s">
        <v>27</v>
      </c>
    </row>
    <row r="16" spans="1:17">
      <c r="A16" s="37" t="s">
        <v>28</v>
      </c>
      <c r="B16" s="9">
        <v>4701.83</v>
      </c>
      <c r="C16" s="10">
        <v>8416.18</v>
      </c>
      <c r="D16" s="10">
        <v>3958.17</v>
      </c>
      <c r="E16" s="10">
        <v>3858.44</v>
      </c>
      <c r="F16" s="10">
        <v>13228.73</v>
      </c>
      <c r="G16" s="10">
        <v>7106.46</v>
      </c>
      <c r="H16" s="10">
        <v>11357.8</v>
      </c>
      <c r="I16" s="10">
        <v>22494.92</v>
      </c>
      <c r="J16" s="122">
        <v>16444.3</v>
      </c>
      <c r="K16" s="10">
        <v>11693.46</v>
      </c>
      <c r="L16" s="10">
        <v>22006.36</v>
      </c>
      <c r="M16" s="11">
        <v>9371.34</v>
      </c>
      <c r="N16" s="107">
        <f t="shared" si="0"/>
        <v>134637.99000000002</v>
      </c>
      <c r="O16" s="19">
        <f>SUM('R 2009'!B16:M16)</f>
        <v>122812.66</v>
      </c>
      <c r="P16" s="77">
        <f t="shared" si="2"/>
        <v>9.6287548856933913E-2</v>
      </c>
      <c r="Q16" s="37" t="s">
        <v>28</v>
      </c>
    </row>
    <row r="17" spans="1:17">
      <c r="A17" s="37" t="s">
        <v>29</v>
      </c>
      <c r="B17" s="9">
        <v>2325.3200000000002</v>
      </c>
      <c r="C17" s="10">
        <v>2962.13</v>
      </c>
      <c r="D17" s="10">
        <v>1219.4000000000001</v>
      </c>
      <c r="E17" s="10">
        <v>1158.31</v>
      </c>
      <c r="F17" s="10">
        <v>5106.25</v>
      </c>
      <c r="G17" s="10">
        <v>1794.61</v>
      </c>
      <c r="H17" s="10">
        <v>1868.21</v>
      </c>
      <c r="I17" s="10">
        <v>6798.61</v>
      </c>
      <c r="J17" s="122">
        <v>2540.41</v>
      </c>
      <c r="K17" s="10">
        <v>2248.4299999999998</v>
      </c>
      <c r="L17" s="10">
        <v>6939</v>
      </c>
      <c r="M17" s="11">
        <v>1721.43</v>
      </c>
      <c r="N17" s="107">
        <f t="shared" si="0"/>
        <v>36682.11</v>
      </c>
      <c r="O17" s="19">
        <f>SUM('R 2009'!B17:M17)</f>
        <v>38096.109999999993</v>
      </c>
      <c r="P17" s="77">
        <f t="shared" si="2"/>
        <v>-3.7116650492661662E-2</v>
      </c>
      <c r="Q17" s="37" t="s">
        <v>29</v>
      </c>
    </row>
    <row r="18" spans="1:17">
      <c r="A18" s="37" t="s">
        <v>30</v>
      </c>
      <c r="B18" s="9">
        <v>13.84</v>
      </c>
      <c r="C18" s="10">
        <v>1325.23</v>
      </c>
      <c r="D18" s="10">
        <v>74.66</v>
      </c>
      <c r="E18" s="144">
        <v>198.45</v>
      </c>
      <c r="F18" s="10">
        <v>946.29</v>
      </c>
      <c r="G18" s="10">
        <v>0</v>
      </c>
      <c r="H18" s="10">
        <v>3350.76</v>
      </c>
      <c r="I18" s="10">
        <v>6249.77</v>
      </c>
      <c r="J18" s="122">
        <v>1971.05</v>
      </c>
      <c r="K18" s="10">
        <v>4295.1400000000003</v>
      </c>
      <c r="L18" s="10">
        <v>8152.81</v>
      </c>
      <c r="M18" s="11">
        <v>1725.7</v>
      </c>
      <c r="N18" s="107">
        <f t="shared" si="0"/>
        <v>28303.7</v>
      </c>
      <c r="O18" s="19">
        <f>SUM('R 2009'!B18:M18)</f>
        <v>27134.799999999999</v>
      </c>
      <c r="P18" s="77">
        <f t="shared" si="2"/>
        <v>4.3077524065038286E-2</v>
      </c>
      <c r="Q18" s="37" t="s">
        <v>30</v>
      </c>
    </row>
    <row r="19" spans="1:17">
      <c r="A19" s="37" t="s">
        <v>31</v>
      </c>
      <c r="B19" s="9">
        <v>1067680.29</v>
      </c>
      <c r="C19" s="10">
        <v>1446906.86</v>
      </c>
      <c r="D19" s="10">
        <v>1211314.3600000001</v>
      </c>
      <c r="E19" s="10">
        <v>1082582.73</v>
      </c>
      <c r="F19" s="10">
        <v>1620534.48</v>
      </c>
      <c r="G19" s="10">
        <v>1198781.6000000001</v>
      </c>
      <c r="H19" s="10">
        <v>1198040.98</v>
      </c>
      <c r="I19" s="10">
        <v>1586543.76</v>
      </c>
      <c r="J19" s="122">
        <v>1208122.56</v>
      </c>
      <c r="K19" s="10">
        <v>1139828.3</v>
      </c>
      <c r="L19" s="10">
        <v>1551772.74</v>
      </c>
      <c r="M19" s="11">
        <v>1154466.3500000001</v>
      </c>
      <c r="N19" s="107">
        <f t="shared" si="0"/>
        <v>15466575.010000002</v>
      </c>
      <c r="O19" s="19">
        <f>SUM('R 2009'!B19:M19)</f>
        <v>15066952.720000003</v>
      </c>
      <c r="P19" s="77">
        <f t="shared" si="2"/>
        <v>2.6523099755237034E-2</v>
      </c>
      <c r="Q19" s="37" t="s">
        <v>31</v>
      </c>
    </row>
    <row r="20" spans="1:17">
      <c r="A20" s="37" t="s">
        <v>45</v>
      </c>
      <c r="B20" s="9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22">
        <v>0</v>
      </c>
      <c r="K20" s="10">
        <v>0</v>
      </c>
      <c r="L20" s="10">
        <v>0</v>
      </c>
      <c r="M20" s="11">
        <v>5273.29</v>
      </c>
      <c r="N20" s="107">
        <f t="shared" si="0"/>
        <v>5273.29</v>
      </c>
      <c r="O20" s="19">
        <v>0</v>
      </c>
      <c r="P20" s="77"/>
      <c r="Q20" s="37"/>
    </row>
    <row r="21" spans="1:17">
      <c r="A21" s="37" t="s">
        <v>32</v>
      </c>
      <c r="B21" s="9">
        <v>2578.81</v>
      </c>
      <c r="C21" s="10">
        <v>13312.06</v>
      </c>
      <c r="D21" s="10">
        <v>2819.96</v>
      </c>
      <c r="E21" s="10">
        <v>3171.23</v>
      </c>
      <c r="F21" s="10">
        <v>13222.06</v>
      </c>
      <c r="G21" s="10">
        <v>4749.82</v>
      </c>
      <c r="H21" s="10">
        <v>4166.8599999999997</v>
      </c>
      <c r="I21" s="10">
        <v>16948.78</v>
      </c>
      <c r="J21" s="122">
        <v>4988.16</v>
      </c>
      <c r="K21" s="185">
        <v>6162.03</v>
      </c>
      <c r="L21" s="10">
        <v>17990.400000000001</v>
      </c>
      <c r="M21" s="11">
        <v>3893.53</v>
      </c>
      <c r="N21" s="107">
        <f t="shared" si="0"/>
        <v>94003.699999999983</v>
      </c>
      <c r="O21" s="19">
        <f>SUM('R 2009'!B20:M20)</f>
        <v>84380.260000000009</v>
      </c>
      <c r="P21" s="77">
        <f t="shared" si="2"/>
        <v>0.11404847531875317</v>
      </c>
      <c r="Q21" s="37" t="s">
        <v>32</v>
      </c>
    </row>
    <row r="22" spans="1:17">
      <c r="A22" s="37" t="s">
        <v>33</v>
      </c>
      <c r="B22" s="9">
        <v>11235.75</v>
      </c>
      <c r="C22" s="10">
        <v>23107.86</v>
      </c>
      <c r="D22" s="10">
        <v>8020.52</v>
      </c>
      <c r="E22" s="10">
        <v>11139.29</v>
      </c>
      <c r="F22" s="10">
        <v>27624.55</v>
      </c>
      <c r="G22" s="10">
        <v>6737.47</v>
      </c>
      <c r="H22" s="10">
        <v>10657.7</v>
      </c>
      <c r="I22" s="10">
        <v>31374.240000000002</v>
      </c>
      <c r="J22" s="122">
        <v>10037.83</v>
      </c>
      <c r="K22" s="10">
        <v>14543.53</v>
      </c>
      <c r="L22" s="10">
        <v>22679.29</v>
      </c>
      <c r="M22" s="11">
        <v>12771.98</v>
      </c>
      <c r="N22" s="107">
        <f t="shared" si="0"/>
        <v>189930.01</v>
      </c>
      <c r="O22" s="19">
        <f>SUM('R 2009'!B21:M21)</f>
        <v>199782.53000000003</v>
      </c>
      <c r="P22" s="77">
        <f t="shared" si="2"/>
        <v>-4.9316223996162312E-2</v>
      </c>
      <c r="Q22" s="37" t="s">
        <v>33</v>
      </c>
    </row>
    <row r="23" spans="1:17">
      <c r="A23" s="37" t="s">
        <v>34</v>
      </c>
      <c r="B23" s="9">
        <v>84422.49</v>
      </c>
      <c r="C23" s="10">
        <v>172034.8</v>
      </c>
      <c r="D23" s="10">
        <v>245338.29</v>
      </c>
      <c r="E23" s="10">
        <v>195919.77</v>
      </c>
      <c r="F23" s="10">
        <v>213638.55</v>
      </c>
      <c r="G23" s="10">
        <v>104725.1</v>
      </c>
      <c r="H23" s="10">
        <v>45969.2</v>
      </c>
      <c r="I23" s="10">
        <v>130343.51</v>
      </c>
      <c r="J23" s="122">
        <v>127266.62</v>
      </c>
      <c r="K23" s="10">
        <v>108323.29</v>
      </c>
      <c r="L23" s="10">
        <v>112660.32</v>
      </c>
      <c r="M23" s="11">
        <v>76362.649999999994</v>
      </c>
      <c r="N23" s="107">
        <f t="shared" si="0"/>
        <v>1617004.59</v>
      </c>
      <c r="O23" s="19">
        <f>SUM('R 2009'!B22:M22)</f>
        <v>1540779.7199999997</v>
      </c>
      <c r="P23" s="77">
        <f t="shared" si="2"/>
        <v>4.9471620771332825E-2</v>
      </c>
      <c r="Q23" s="37" t="s">
        <v>34</v>
      </c>
    </row>
    <row r="24" spans="1:17">
      <c r="A24" s="37" t="s">
        <v>35</v>
      </c>
      <c r="B24" s="9">
        <v>26735.54</v>
      </c>
      <c r="C24" s="10">
        <v>33290.800000000003</v>
      </c>
      <c r="D24" s="10">
        <v>27065.74</v>
      </c>
      <c r="E24" s="10">
        <v>23205.07</v>
      </c>
      <c r="F24" s="10">
        <v>39579.69</v>
      </c>
      <c r="G24" s="10">
        <v>30575.599999999999</v>
      </c>
      <c r="H24" s="10">
        <v>31212.25</v>
      </c>
      <c r="I24" s="10">
        <v>49599.14</v>
      </c>
      <c r="J24" s="122">
        <v>35662.06</v>
      </c>
      <c r="K24" s="10">
        <v>23263.7</v>
      </c>
      <c r="L24" s="10">
        <v>52775.88</v>
      </c>
      <c r="M24" s="11">
        <v>37882.19</v>
      </c>
      <c r="N24" s="107">
        <f t="shared" si="0"/>
        <v>410847.66000000003</v>
      </c>
      <c r="O24" s="19">
        <f>SUM('R 2009'!B23:M23)</f>
        <v>381763.89999999997</v>
      </c>
      <c r="P24" s="77">
        <f t="shared" si="2"/>
        <v>7.6182583004836379E-2</v>
      </c>
      <c r="Q24" s="37" t="s">
        <v>35</v>
      </c>
    </row>
    <row r="25" spans="1:17">
      <c r="A25" s="37" t="s">
        <v>36</v>
      </c>
      <c r="B25" s="9">
        <v>25693.1</v>
      </c>
      <c r="C25" s="10">
        <v>27933.61</v>
      </c>
      <c r="D25" s="10">
        <v>23885.22</v>
      </c>
      <c r="E25" s="10">
        <v>21379</v>
      </c>
      <c r="F25" s="10">
        <v>33127.49</v>
      </c>
      <c r="G25" s="10">
        <v>16435.11</v>
      </c>
      <c r="H25" s="10">
        <v>22850.73</v>
      </c>
      <c r="I25" s="10">
        <v>39672.14</v>
      </c>
      <c r="J25" s="122">
        <v>22116.79</v>
      </c>
      <c r="K25" s="10">
        <v>21673.54</v>
      </c>
      <c r="L25" s="10">
        <v>43858.879999999997</v>
      </c>
      <c r="M25" s="11">
        <v>20172.47</v>
      </c>
      <c r="N25" s="107">
        <f t="shared" si="0"/>
        <v>318798.07999999996</v>
      </c>
      <c r="O25" s="19">
        <f>SUM('R 2009'!B24:M24)</f>
        <v>327803.73</v>
      </c>
      <c r="P25" s="77">
        <f t="shared" si="2"/>
        <v>-2.7472689221687663E-2</v>
      </c>
      <c r="Q25" s="37" t="s">
        <v>36</v>
      </c>
    </row>
    <row r="26" spans="1:17">
      <c r="A26" s="37" t="s">
        <v>37</v>
      </c>
      <c r="B26" s="9">
        <v>345026.18</v>
      </c>
      <c r="C26" s="10">
        <v>388455.15</v>
      </c>
      <c r="D26" s="10">
        <v>314165.19</v>
      </c>
      <c r="E26" s="10">
        <v>307956.52</v>
      </c>
      <c r="F26" s="10">
        <v>476993.71</v>
      </c>
      <c r="G26" s="10">
        <v>333108.65999999997</v>
      </c>
      <c r="H26" s="10">
        <v>346903.89</v>
      </c>
      <c r="I26" s="10">
        <v>453106.17</v>
      </c>
      <c r="J26" s="122">
        <v>358063.61</v>
      </c>
      <c r="K26" s="10">
        <v>338896.17</v>
      </c>
      <c r="L26" s="10">
        <v>477657</v>
      </c>
      <c r="M26" s="11">
        <v>364735.44</v>
      </c>
      <c r="N26" s="107">
        <f t="shared" si="0"/>
        <v>4505067.6900000004</v>
      </c>
      <c r="O26" s="19">
        <f>SUM('R 2009'!B25:M25)</f>
        <v>4402718.1500000004</v>
      </c>
      <c r="P26" s="77">
        <f t="shared" si="2"/>
        <v>2.3246898055466092E-2</v>
      </c>
      <c r="Q26" s="37" t="s">
        <v>37</v>
      </c>
    </row>
    <row r="27" spans="1:17">
      <c r="A27" s="37" t="s">
        <v>38</v>
      </c>
      <c r="B27" s="9">
        <v>14698.53</v>
      </c>
      <c r="C27" s="10">
        <v>22189.38</v>
      </c>
      <c r="D27" s="10">
        <v>16331.15</v>
      </c>
      <c r="E27" s="10">
        <v>35204.28</v>
      </c>
      <c r="F27" s="10">
        <v>19891.73</v>
      </c>
      <c r="G27" s="10">
        <v>19152.400000000001</v>
      </c>
      <c r="H27" s="10">
        <v>36138.26</v>
      </c>
      <c r="I27" s="10">
        <v>40146.1</v>
      </c>
      <c r="J27" s="122">
        <v>28806.25</v>
      </c>
      <c r="K27" s="10">
        <v>29440.47</v>
      </c>
      <c r="L27" s="10">
        <v>40781.300000000003</v>
      </c>
      <c r="M27" s="11">
        <v>18645.439999999999</v>
      </c>
      <c r="N27" s="107">
        <f t="shared" si="0"/>
        <v>321425.29000000004</v>
      </c>
      <c r="O27" s="19">
        <f>SUM('R 2009'!B26:M26)</f>
        <v>273721.63</v>
      </c>
      <c r="P27" s="77">
        <f t="shared" si="2"/>
        <v>0.17427800645495228</v>
      </c>
      <c r="Q27" s="37" t="s">
        <v>38</v>
      </c>
    </row>
    <row r="28" spans="1:17">
      <c r="A28" s="37" t="s">
        <v>39</v>
      </c>
      <c r="B28" s="9">
        <v>120599.59</v>
      </c>
      <c r="C28" s="10">
        <v>150742.76999999999</v>
      </c>
      <c r="D28" s="10">
        <v>108923.98</v>
      </c>
      <c r="E28" s="10">
        <v>124724.39</v>
      </c>
      <c r="F28" s="10">
        <v>186723.96</v>
      </c>
      <c r="G28" s="10">
        <v>144888.79999999999</v>
      </c>
      <c r="H28" s="10">
        <v>126502.83</v>
      </c>
      <c r="I28" s="10">
        <v>196333.39</v>
      </c>
      <c r="J28" s="122">
        <v>136675.51999999999</v>
      </c>
      <c r="K28" s="10">
        <v>119881.12</v>
      </c>
      <c r="L28" s="10">
        <v>183887.61</v>
      </c>
      <c r="M28" s="11">
        <v>138994.87</v>
      </c>
      <c r="N28" s="107">
        <f t="shared" si="0"/>
        <v>1738878.83</v>
      </c>
      <c r="O28" s="19">
        <f>SUM('R 2009'!B27:M27)</f>
        <v>1579208.17</v>
      </c>
      <c r="P28" s="77">
        <f t="shared" si="2"/>
        <v>0.101108050878435</v>
      </c>
      <c r="Q28" s="37" t="s">
        <v>97</v>
      </c>
    </row>
    <row r="29" spans="1:17">
      <c r="A29" s="37" t="s">
        <v>40</v>
      </c>
      <c r="B29" s="9">
        <v>1031.31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10430.35</v>
      </c>
      <c r="J29" s="122">
        <v>1817.71</v>
      </c>
      <c r="K29" s="10">
        <v>4143.3500000000004</v>
      </c>
      <c r="L29" s="10">
        <v>11708.64</v>
      </c>
      <c r="M29" s="11">
        <v>671.23</v>
      </c>
      <c r="N29" s="107">
        <f t="shared" si="0"/>
        <v>29802.59</v>
      </c>
      <c r="O29" s="19">
        <f>SUM('R 2009'!B28:M28)</f>
        <v>52680.61</v>
      </c>
      <c r="P29" s="77">
        <f t="shared" si="2"/>
        <v>-0.43427781113392572</v>
      </c>
      <c r="Q29" s="37" t="s">
        <v>40</v>
      </c>
    </row>
    <row r="30" spans="1:17" ht="13" thickBot="1">
      <c r="A30" s="38" t="s">
        <v>41</v>
      </c>
      <c r="B30" s="12">
        <v>164677.37</v>
      </c>
      <c r="C30" s="13">
        <v>226905.54</v>
      </c>
      <c r="D30" s="13">
        <v>183475.92</v>
      </c>
      <c r="E30" s="13">
        <v>155001.79999999999</v>
      </c>
      <c r="F30" s="13">
        <v>254405.45</v>
      </c>
      <c r="G30" s="13">
        <v>163242.63</v>
      </c>
      <c r="H30" s="13">
        <v>178259.93</v>
      </c>
      <c r="I30" s="13">
        <v>249457.92000000001</v>
      </c>
      <c r="J30" s="123">
        <v>170539.73</v>
      </c>
      <c r="K30" s="13">
        <v>177564.44</v>
      </c>
      <c r="L30" s="13">
        <v>258137.77</v>
      </c>
      <c r="M30" s="14">
        <v>183621.84</v>
      </c>
      <c r="N30" s="110">
        <f t="shared" si="0"/>
        <v>2365290.3399999994</v>
      </c>
      <c r="O30" s="19">
        <f>SUM('R 2009'!B29:M29)</f>
        <v>2319498.0299999998</v>
      </c>
      <c r="P30" s="78">
        <f t="shared" si="2"/>
        <v>1.974233623298205E-2</v>
      </c>
      <c r="Q30" s="38" t="s">
        <v>41</v>
      </c>
    </row>
    <row r="31" spans="1:17" ht="14" thickTop="1" thickBot="1">
      <c r="A31" s="137" t="s">
        <v>0</v>
      </c>
      <c r="B31" s="138">
        <f t="shared" ref="B31:O31" si="3">SUM(B4:B30)</f>
        <v>2271608.5500000003</v>
      </c>
      <c r="C31" s="139">
        <f t="shared" si="3"/>
        <v>3017252.5799999996</v>
      </c>
      <c r="D31" s="139">
        <f t="shared" si="3"/>
        <v>2540869.58</v>
      </c>
      <c r="E31" s="139">
        <f t="shared" si="3"/>
        <v>2302672.6800000002</v>
      </c>
      <c r="F31" s="139">
        <f t="shared" si="3"/>
        <v>3495254.21</v>
      </c>
      <c r="G31" s="139">
        <f t="shared" si="3"/>
        <v>2423449.6000000001</v>
      </c>
      <c r="H31" s="139">
        <f t="shared" si="3"/>
        <v>2458254.21</v>
      </c>
      <c r="I31" s="139">
        <f t="shared" si="3"/>
        <v>3552921.58</v>
      </c>
      <c r="J31" s="139">
        <f t="shared" si="3"/>
        <v>2589078.21</v>
      </c>
      <c r="K31" s="139">
        <f t="shared" si="3"/>
        <v>2477271.0300000007</v>
      </c>
      <c r="L31" s="139">
        <f t="shared" si="3"/>
        <v>3482000.7599999993</v>
      </c>
      <c r="M31" s="140">
        <f t="shared" si="3"/>
        <v>2465824.466</v>
      </c>
      <c r="N31" s="24">
        <f t="shared" si="3"/>
        <v>33076457.456</v>
      </c>
      <c r="O31" s="127">
        <f t="shared" si="3"/>
        <v>32060724.450000003</v>
      </c>
      <c r="P31" s="113">
        <f t="shared" si="2"/>
        <v>3.1681536316625403E-2</v>
      </c>
      <c r="Q31" s="142"/>
    </row>
    <row r="32" spans="1:17">
      <c r="B32" s="28">
        <f>B31/'R 2009'!B30-1</f>
        <v>9.3455613840450535E-2</v>
      </c>
      <c r="C32" s="28">
        <f>C31/'R 2009'!C30-1</f>
        <v>-8.9409169065549965E-2</v>
      </c>
      <c r="D32" s="28">
        <f>D31/'R 2009'!D30-1</f>
        <v>6.810800857333299E-2</v>
      </c>
      <c r="E32" s="28">
        <f>E31/'R 2009'!E30-1</f>
        <v>2.1025979799275563E-2</v>
      </c>
      <c r="F32" s="28">
        <f>F31/'R 2009'!F30-1</f>
        <v>7.0993925503814337E-2</v>
      </c>
      <c r="G32" s="28">
        <f>G31/'R 2009'!G30-1</f>
        <v>1.6766518092903304E-4</v>
      </c>
      <c r="H32" s="28">
        <f>H31/'R 2009'!H30-1</f>
        <v>2.4052424368945502E-3</v>
      </c>
      <c r="I32" s="28">
        <f>I31/'R 2009'!I30-1</f>
        <v>0.13192364959635139</v>
      </c>
      <c r="J32" s="28">
        <f>J31/'R 2009'!J30-1</f>
        <v>-3.73636477858732E-2</v>
      </c>
      <c r="K32" s="28">
        <f>K31/'R 2009'!K30-1</f>
        <v>-3.199997458545234E-2</v>
      </c>
      <c r="L32" s="28">
        <f>L31/'R 2009'!L30-1</f>
        <v>0.11084322773441491</v>
      </c>
      <c r="M32" s="28">
        <f>M31/'R 2009'!M30-1</f>
        <v>3.8432326723600418E-2</v>
      </c>
      <c r="N32" s="28"/>
    </row>
    <row r="34" spans="1:3">
      <c r="C34" s="100"/>
    </row>
    <row r="37" spans="1:3">
      <c r="A37" s="145"/>
    </row>
  </sheetData>
  <mergeCells count="1">
    <mergeCell ref="A1:P1"/>
  </mergeCells>
  <phoneticPr fontId="0" type="noConversion"/>
  <printOptions horizontalCentered="1"/>
  <pageMargins left="0" right="0" top="1" bottom="1" header="0.5" footer="0.5"/>
  <pageSetup scale="86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1"/>
    <pageSetUpPr fitToPage="1"/>
  </sheetPr>
  <dimension ref="A1:U84"/>
  <sheetViews>
    <sheetView workbookViewId="0">
      <pane ySplit="3" topLeftCell="A16" activePane="bottomLeft" state="frozen"/>
      <selection pane="bottomLeft" activeCell="O16" sqref="O16"/>
    </sheetView>
  </sheetViews>
  <sheetFormatPr baseColWidth="10" defaultColWidth="8.83203125" defaultRowHeight="12" x14ac:dyDescent="0"/>
  <cols>
    <col min="1" max="1" width="11.33203125" bestFit="1" customWidth="1"/>
    <col min="2" max="3" width="8.6640625" bestFit="1" customWidth="1"/>
    <col min="6" max="6" width="9.5" bestFit="1" customWidth="1"/>
    <col min="9" max="9" width="9.5" bestFit="1" customWidth="1"/>
    <col min="12" max="12" width="9.5" bestFit="1" customWidth="1"/>
    <col min="14" max="14" width="10.5" bestFit="1" customWidth="1"/>
    <col min="15" max="15" width="10.1640625" bestFit="1" customWidth="1"/>
    <col min="21" max="21" width="13.5" bestFit="1" customWidth="1"/>
  </cols>
  <sheetData>
    <row r="1" spans="1:20" ht="21">
      <c r="A1" s="690" t="s">
        <v>150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</row>
    <row r="2" spans="1:20" ht="13" thickBot="1">
      <c r="A2" s="47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0" ht="13" thickBot="1">
      <c r="A3" s="466" t="s">
        <v>42</v>
      </c>
      <c r="B3" s="467" t="s">
        <v>2</v>
      </c>
      <c r="C3" s="468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467" t="s">
        <v>8</v>
      </c>
      <c r="I3" s="467" t="s">
        <v>9</v>
      </c>
      <c r="J3" s="467" t="s">
        <v>10</v>
      </c>
      <c r="K3" s="467" t="s">
        <v>11</v>
      </c>
      <c r="L3" s="467" t="s">
        <v>12</v>
      </c>
      <c r="M3" s="469" t="s">
        <v>13</v>
      </c>
      <c r="N3" s="471" t="s">
        <v>147</v>
      </c>
      <c r="O3" s="472" t="s">
        <v>127</v>
      </c>
      <c r="P3" s="473" t="s">
        <v>16</v>
      </c>
      <c r="Q3" s="565" t="s">
        <v>58</v>
      </c>
    </row>
    <row r="4" spans="1:20">
      <c r="A4" s="92" t="s">
        <v>17</v>
      </c>
      <c r="B4" s="496">
        <f>'R 2014'!B4+'TRT 2014'!B4</f>
        <v>12947.07</v>
      </c>
      <c r="C4" s="496">
        <f>'R 2014'!C4+'TRT 2014'!C4</f>
        <v>34476.300000000003</v>
      </c>
      <c r="D4" s="496">
        <f>'R 2014'!D4+'TRT 2014'!D4</f>
        <v>12241.09</v>
      </c>
      <c r="E4" s="496">
        <f>'R 2014'!E4+'TRT 2014'!E4</f>
        <v>10367.35</v>
      </c>
      <c r="F4" s="496">
        <f>'R 2014'!F4+'TRT 2014'!F4</f>
        <v>41071.279999999999</v>
      </c>
      <c r="G4" s="496">
        <f>'R 2014'!G4+'TRT 2014'!G4</f>
        <v>16654.75</v>
      </c>
      <c r="H4" s="496">
        <f>'R 2014'!H4+'TRT 2014'!H4</f>
        <v>15918.11</v>
      </c>
      <c r="I4" s="496">
        <f>'R 2014'!I4+'TRT 2014'!I4</f>
        <v>48392.92</v>
      </c>
      <c r="J4" s="496">
        <f>'R 2014'!J4+'TRT 2014'!J4</f>
        <v>22777.97</v>
      </c>
      <c r="K4" s="496">
        <f>'R 2014'!K4+'TRT 2014'!K4</f>
        <v>21996.959999999999</v>
      </c>
      <c r="L4" s="496">
        <f>'R 2014'!L4+'TRT 2014'!L4</f>
        <v>56002.74</v>
      </c>
      <c r="M4" s="496">
        <f>'R 2014'!M4+'TRT 2014'!M4</f>
        <v>18616.62</v>
      </c>
      <c r="N4" s="497">
        <f t="shared" ref="N4:N32" si="0">SUM(B4:M4)</f>
        <v>311463.15999999997</v>
      </c>
      <c r="O4" s="388">
        <f>SUM('TOTAL 2013'!B4:M4)</f>
        <v>304133.76000000001</v>
      </c>
      <c r="P4" s="474">
        <f>N4/O4-1</f>
        <v>2.4099264744564808E-2</v>
      </c>
      <c r="Q4" s="566">
        <f t="shared" ref="Q4:Q32" si="1">N4/$N$33</f>
        <v>3.0278212952874282E-3</v>
      </c>
    </row>
    <row r="5" spans="1:20">
      <c r="A5" s="92" t="s">
        <v>18</v>
      </c>
      <c r="B5" s="39">
        <f>'R 2014'!B5+'TRT 2014'!B5</f>
        <v>44308.72</v>
      </c>
      <c r="C5" s="39">
        <f>'R 2014'!C5+'TRT 2014'!C5</f>
        <v>63097.919999999998</v>
      </c>
      <c r="D5" s="39">
        <f>'R 2014'!D5+'TRT 2014'!D5</f>
        <v>46019.63</v>
      </c>
      <c r="E5" s="39">
        <f>'R 2014'!E5+'TRT 2014'!E5</f>
        <v>37380.54</v>
      </c>
      <c r="F5" s="39">
        <f>'R 2014'!F5+'TRT 2014'!F5</f>
        <v>72222.209999999992</v>
      </c>
      <c r="G5" s="39">
        <f>'R 2014'!G5+'TRT 2014'!G5</f>
        <v>47187.01</v>
      </c>
      <c r="H5" s="39">
        <f>'R 2014'!H5+'TRT 2014'!H5</f>
        <v>45768.19</v>
      </c>
      <c r="I5" s="39">
        <f>'R 2014'!I5+'TRT 2014'!I5</f>
        <v>91937.08</v>
      </c>
      <c r="J5" s="39">
        <f>'R 2014'!J5+'TRT 2014'!J5</f>
        <v>70054.38</v>
      </c>
      <c r="K5" s="39">
        <f>'R 2014'!K5+'TRT 2014'!K5</f>
        <v>46389.56</v>
      </c>
      <c r="L5" s="39">
        <f>'R 2014'!L5+'TRT 2014'!L5</f>
        <v>87338.510000000009</v>
      </c>
      <c r="M5" s="39">
        <f>'R 2014'!M5+'TRT 2014'!M5</f>
        <v>50236.78</v>
      </c>
      <c r="N5" s="497">
        <f t="shared" si="0"/>
        <v>701940.53</v>
      </c>
      <c r="O5" s="388">
        <f>SUM('TOTAL 2013'!B5:M5)</f>
        <v>652431.82999999996</v>
      </c>
      <c r="P5" s="474">
        <f t="shared" ref="P5:P31" si="2">N5/O5-1</f>
        <v>7.5883330217043632E-2</v>
      </c>
      <c r="Q5" s="566">
        <f t="shared" si="1"/>
        <v>6.8237620293820434E-3</v>
      </c>
    </row>
    <row r="6" spans="1:20">
      <c r="A6" s="92" t="s">
        <v>19</v>
      </c>
      <c r="B6" s="39">
        <f>'R 2014'!B6+'TRT 2014'!B6</f>
        <v>107718.07</v>
      </c>
      <c r="C6" s="39">
        <f>'R 2014'!C6+'TRT 2014'!C6</f>
        <v>140929.15</v>
      </c>
      <c r="D6" s="39">
        <f>'R 2014'!D6+'TRT 2014'!D6</f>
        <v>108457.69</v>
      </c>
      <c r="E6" s="39">
        <f>'R 2014'!E6+'TRT 2014'!E6</f>
        <v>100903.98000000001</v>
      </c>
      <c r="F6" s="39">
        <f>'R 2014'!F6+'TRT 2014'!F6</f>
        <v>169570.31</v>
      </c>
      <c r="G6" s="39">
        <f>'R 2014'!G6+'TRT 2014'!G6</f>
        <v>133591.19</v>
      </c>
      <c r="H6" s="39">
        <f>'R 2014'!H6+'TRT 2014'!H6</f>
        <v>120204.3</v>
      </c>
      <c r="I6" s="39">
        <f>'R 2014'!I6+'TRT 2014'!I6</f>
        <v>186281.7</v>
      </c>
      <c r="J6" s="39">
        <f>'R 2014'!J6+'TRT 2014'!J6</f>
        <v>139355.63</v>
      </c>
      <c r="K6" s="39">
        <f>'R 2014'!K6+'TRT 2014'!K6</f>
        <v>161005.33000000002</v>
      </c>
      <c r="L6" s="39">
        <f>'R 2014'!L6+'TRT 2014'!L6</f>
        <v>178818.77000000002</v>
      </c>
      <c r="M6" s="39">
        <f>'R 2014'!M6+'TRT 2014'!M6</f>
        <v>115225.12999999999</v>
      </c>
      <c r="N6" s="497">
        <f t="shared" si="0"/>
        <v>1662061.25</v>
      </c>
      <c r="O6" s="388">
        <f>SUM('TOTAL 2013'!B6:M6)</f>
        <v>1583291.16</v>
      </c>
      <c r="P6" s="474">
        <f t="shared" si="2"/>
        <v>4.9750855679633776E-2</v>
      </c>
      <c r="Q6" s="566">
        <f t="shared" si="1"/>
        <v>1.6157366562459721E-2</v>
      </c>
    </row>
    <row r="7" spans="1:20">
      <c r="A7" s="92" t="s">
        <v>20</v>
      </c>
      <c r="B7" s="39">
        <f>'R 2014'!B7+'TRT 2014'!B7</f>
        <v>26781.45</v>
      </c>
      <c r="C7" s="39">
        <f>'R 2014'!C7+'TRT 2014'!C7</f>
        <v>36943.199999999997</v>
      </c>
      <c r="D7" s="39">
        <f>'R 2014'!D7+'TRT 2014'!D7</f>
        <v>32190.38</v>
      </c>
      <c r="E7" s="39">
        <f>'R 2014'!E7+'TRT 2014'!E7</f>
        <v>27741.34</v>
      </c>
      <c r="F7" s="39">
        <f>'R 2014'!F7+'TRT 2014'!F7</f>
        <v>50605.259999999995</v>
      </c>
      <c r="G7" s="39">
        <f>'R 2014'!G7+'TRT 2014'!G7</f>
        <v>45498.630000000005</v>
      </c>
      <c r="H7" s="39">
        <f>'R 2014'!H7+'TRT 2014'!H7</f>
        <v>36452.78</v>
      </c>
      <c r="I7" s="39">
        <f>'R 2014'!I7+'TRT 2014'!I7</f>
        <v>45833.539999999994</v>
      </c>
      <c r="J7" s="39">
        <f>'R 2014'!J7+'TRT 2014'!J7</f>
        <v>39170.800000000003</v>
      </c>
      <c r="K7" s="39">
        <f>'R 2014'!K7+'TRT 2014'!K7</f>
        <v>34446.949999999997</v>
      </c>
      <c r="L7" s="39">
        <f>'R 2014'!L7+'TRT 2014'!L7</f>
        <v>56367.040000000001</v>
      </c>
      <c r="M7" s="39">
        <f>'R 2014'!M7+'TRT 2014'!M7</f>
        <v>45565.380000000005</v>
      </c>
      <c r="N7" s="497">
        <f t="shared" si="0"/>
        <v>477596.75</v>
      </c>
      <c r="O7" s="388">
        <f>SUM('TOTAL 2013'!B7:M7)</f>
        <v>462932.11</v>
      </c>
      <c r="P7" s="474">
        <f t="shared" si="2"/>
        <v>3.1677733480185655E-2</v>
      </c>
      <c r="Q7" s="566">
        <f t="shared" si="1"/>
        <v>4.6428528183238942E-3</v>
      </c>
    </row>
    <row r="8" spans="1:20">
      <c r="A8" s="92" t="s">
        <v>21</v>
      </c>
      <c r="B8" s="39">
        <f>'R 2014'!B8+'TRT 2014'!B8</f>
        <v>2392</v>
      </c>
      <c r="C8" s="39">
        <f>'R 2014'!C8+'TRT 2014'!C8</f>
        <v>2600</v>
      </c>
      <c r="D8" s="39">
        <f>'R 2014'!D8+'TRT 2014'!D8</f>
        <v>4886.42</v>
      </c>
      <c r="E8" s="39">
        <f>'R 2014'!E8+'TRT 2014'!E8</f>
        <v>3316.58</v>
      </c>
      <c r="F8" s="39">
        <f>'R 2014'!F8+'TRT 2014'!F8</f>
        <v>4222</v>
      </c>
      <c r="G8" s="39">
        <f>'R 2014'!G8+'TRT 2014'!G8</f>
        <v>9164.7000000000007</v>
      </c>
      <c r="H8" s="39">
        <f>'R 2014'!H8+'TRT 2014'!H8</f>
        <v>8389.93</v>
      </c>
      <c r="I8" s="39">
        <f>'R 2014'!I8+'TRT 2014'!I8</f>
        <v>19255.900000000001</v>
      </c>
      <c r="J8" s="39">
        <f>'R 2014'!J8+'TRT 2014'!J8</f>
        <v>23382.089999999997</v>
      </c>
      <c r="K8" s="39">
        <f>'R 2014'!K8+'TRT 2014'!K8</f>
        <v>7180.54</v>
      </c>
      <c r="L8" s="39">
        <f>'R 2014'!L8+'TRT 2014'!L8</f>
        <v>15493.349999999999</v>
      </c>
      <c r="M8" s="39">
        <f>'R 2014'!M8+'TRT 2014'!M8</f>
        <v>4160.0200000000004</v>
      </c>
      <c r="N8" s="497">
        <f t="shared" si="0"/>
        <v>104443.52999999998</v>
      </c>
      <c r="O8" s="388">
        <f>SUM('TOTAL 2013'!B8:M8)</f>
        <v>86996.478999999992</v>
      </c>
      <c r="P8" s="474">
        <f t="shared" si="2"/>
        <v>0.20054893256082229</v>
      </c>
      <c r="Q8" s="566">
        <f t="shared" si="1"/>
        <v>1.0153250364794068E-3</v>
      </c>
    </row>
    <row r="9" spans="1:20">
      <c r="A9" s="151" t="s">
        <v>22</v>
      </c>
      <c r="B9" s="327">
        <f>'R 2014'!B9+'TRT 2014'!B9+'CR 2014'!C4</f>
        <v>311699.47000000003</v>
      </c>
      <c r="C9" s="327">
        <f>'R 2014'!C9+'TRT 2014'!C9+'CR 2014'!D4</f>
        <v>427075.20000000007</v>
      </c>
      <c r="D9" s="327">
        <f>'R 2014'!D9+'TRT 2014'!D9+'CR 2014'!E4</f>
        <v>390523.58999999997</v>
      </c>
      <c r="E9" s="327">
        <f>'R 2014'!E9+'TRT 2014'!E9+'CR 2014'!F4</f>
        <v>342127.73</v>
      </c>
      <c r="F9" s="327">
        <f>'R 2014'!F9+'TRT 2014'!F9+'CR 2014'!G4</f>
        <v>549293.6</v>
      </c>
      <c r="G9" s="327">
        <f>'R 2014'!G9+'TRT 2014'!G9+'CR 2014'!H4</f>
        <v>386168.53</v>
      </c>
      <c r="H9" s="327">
        <f>'R 2014'!H9+'TRT 2014'!H9+'CR 2014'!I4</f>
        <v>425820.69</v>
      </c>
      <c r="I9" s="327">
        <f>'R 2014'!I9+'TRT 2014'!I9+'CR 2014'!J4</f>
        <v>591542.52</v>
      </c>
      <c r="J9" s="327">
        <f>'R 2014'!J9+'TRT 2014'!J9+'CR 2014'!K4</f>
        <v>493542.9</v>
      </c>
      <c r="K9" s="327">
        <f>'R 2014'!K9+'TRT 2014'!K9+'CR 2014'!L4</f>
        <v>534469.12999999989</v>
      </c>
      <c r="L9" s="327">
        <f>'R 2014'!L9+'TRT 2014'!L9+'CR 2014'!M4</f>
        <v>550760.5</v>
      </c>
      <c r="M9" s="327">
        <f>'R 2014'!M9+'TRT 2014'!M9+'CR 2014'!N4</f>
        <v>425683.21</v>
      </c>
      <c r="N9" s="497">
        <f t="shared" si="0"/>
        <v>5428707.0699999994</v>
      </c>
      <c r="O9" s="388">
        <f>SUM('TOTAL 2013'!B9:M9)</f>
        <v>4975006.16</v>
      </c>
      <c r="P9" s="474">
        <f t="shared" si="2"/>
        <v>9.1196049895946096E-2</v>
      </c>
      <c r="Q9" s="566">
        <f t="shared" si="1"/>
        <v>5.2773993792471052E-2</v>
      </c>
    </row>
    <row r="10" spans="1:20">
      <c r="A10" s="151" t="s">
        <v>23</v>
      </c>
      <c r="B10" s="327">
        <f>'R 2014'!B10+'TRT 2014'!B10+'CR 2014'!C5</f>
        <v>14164.69</v>
      </c>
      <c r="C10" s="327">
        <f>'R 2014'!C10+'TRT 2014'!C10+'CR 2014'!D5</f>
        <v>42519.21</v>
      </c>
      <c r="D10" s="327">
        <f>'R 2014'!D10+'TRT 2014'!D10+'CR 2014'!E5</f>
        <v>11513.41</v>
      </c>
      <c r="E10" s="327">
        <f>'R 2014'!E10+'TRT 2014'!E10+'CR 2014'!F5</f>
        <v>14996.32</v>
      </c>
      <c r="F10" s="327">
        <f>'R 2014'!F10+'TRT 2014'!F10+'CR 2014'!G5</f>
        <v>29630.45</v>
      </c>
      <c r="G10" s="327">
        <f>'R 2014'!G10+'TRT 2014'!G10+'CR 2014'!H5</f>
        <v>10727.38</v>
      </c>
      <c r="H10" s="327">
        <f>'R 2014'!H10+'TRT 2014'!H10+'CR 2014'!I5</f>
        <v>16681.78</v>
      </c>
      <c r="I10" s="327">
        <f>'R 2014'!I10+'TRT 2014'!I10+'CR 2014'!J5</f>
        <v>32696.75</v>
      </c>
      <c r="J10" s="327">
        <f>'R 2014'!J10+'TRT 2014'!J10+'CR 2014'!K5</f>
        <v>26228.16</v>
      </c>
      <c r="K10" s="327">
        <f>'R 2014'!K10+'TRT 2014'!K10+'CR 2014'!L5</f>
        <v>18616.129999999997</v>
      </c>
      <c r="L10" s="327">
        <f>'R 2014'!L10+'TRT 2014'!L10+'CR 2014'!M5</f>
        <v>48390.25</v>
      </c>
      <c r="M10" s="327">
        <f>'R 2014'!M10+'TRT 2014'!M10+'CR 2014'!N5</f>
        <v>22079.260000000002</v>
      </c>
      <c r="N10" s="497">
        <f t="shared" si="0"/>
        <v>288243.79000000004</v>
      </c>
      <c r="O10" s="388">
        <f>SUM('TOTAL 2013'!B10:M10)</f>
        <v>292194.19</v>
      </c>
      <c r="P10" s="474">
        <f t="shared" si="2"/>
        <v>-1.3519776009235374E-2</v>
      </c>
      <c r="Q10" s="566">
        <f t="shared" si="1"/>
        <v>2.8020992453693643E-3</v>
      </c>
    </row>
    <row r="11" spans="1:20">
      <c r="A11" s="151" t="s">
        <v>51</v>
      </c>
      <c r="B11" s="327">
        <f>'R 2014'!B11+'TRT 2014'!B11</f>
        <v>13663</v>
      </c>
      <c r="C11" s="327">
        <f>'R 2014'!C11+'TRT 2014'!C11</f>
        <v>17500.2</v>
      </c>
      <c r="D11" s="327">
        <f>'R 2014'!D11+'TRT 2014'!D11</f>
        <v>10869.2</v>
      </c>
      <c r="E11" s="327">
        <f>'R 2014'!E11+'TRT 2014'!E11</f>
        <v>7051.1990000000005</v>
      </c>
      <c r="F11" s="327">
        <f>'R 2014'!F11+'TRT 2014'!F11</f>
        <v>27336.46</v>
      </c>
      <c r="G11" s="327">
        <f>'R 2014'!G11+'TRT 2014'!G11</f>
        <v>32854.620000000003</v>
      </c>
      <c r="H11" s="327">
        <f>'R 2014'!H11+'TRT 2014'!H11</f>
        <v>53193.99</v>
      </c>
      <c r="I11" s="327">
        <f>'R 2014'!I11+'TRT 2014'!I11</f>
        <v>68127.850000000006</v>
      </c>
      <c r="J11" s="327">
        <f>'R 2014'!J11+'TRT 2014'!J11</f>
        <v>38628.780000000006</v>
      </c>
      <c r="K11" s="327">
        <f>'R 2014'!K11+'TRT 2014'!K11</f>
        <v>34913.230000000003</v>
      </c>
      <c r="L11" s="327">
        <f>'R 2014'!L11+'TRT 2014'!L11</f>
        <v>71138.820000000007</v>
      </c>
      <c r="M11" s="327">
        <f>'R 2014'!M11+'TRT 2014'!M11</f>
        <v>37913.339999999997</v>
      </c>
      <c r="N11" s="498">
        <f t="shared" si="0"/>
        <v>413190.68900000001</v>
      </c>
      <c r="O11" s="388">
        <f>SUM('TOTAL 2013'!B11:M11)</f>
        <v>362700.37000000005</v>
      </c>
      <c r="P11" s="474">
        <f t="shared" si="2"/>
        <v>0.13920669284125609</v>
      </c>
      <c r="Q11" s="566">
        <f t="shared" si="1"/>
        <v>4.0167433193983035E-3</v>
      </c>
    </row>
    <row r="12" spans="1:20">
      <c r="A12" s="151" t="s">
        <v>24</v>
      </c>
      <c r="B12" s="327">
        <f>'R 2014'!B12+'TRT 2014'!B12</f>
        <v>40635.869999999995</v>
      </c>
      <c r="C12" s="327">
        <f>'R 2014'!C12+'TRT 2014'!C12</f>
        <v>37536.023000000001</v>
      </c>
      <c r="D12" s="327">
        <f>'R 2014'!D12+'TRT 2014'!D12</f>
        <v>14659.98</v>
      </c>
      <c r="E12" s="327">
        <f>'R 2014'!E12+'TRT 2014'!E12</f>
        <v>23307.16</v>
      </c>
      <c r="F12" s="327">
        <f>'R 2014'!F12+'TRT 2014'!F12</f>
        <v>56588.25</v>
      </c>
      <c r="G12" s="327">
        <f>'R 2014'!G12+'TRT 2014'!G12</f>
        <v>120566.45999999999</v>
      </c>
      <c r="H12" s="327">
        <f>'R 2014'!H12+'TRT 2014'!H12</f>
        <v>208915.90999999997</v>
      </c>
      <c r="I12" s="327">
        <f>'R 2014'!I12+'TRT 2014'!I12</f>
        <v>294143.39</v>
      </c>
      <c r="J12" s="327">
        <f>'R 2014'!J12+'TRT 2014'!J12</f>
        <v>193973.03999999998</v>
      </c>
      <c r="K12" s="327">
        <f>'R 2014'!K12+'TRT 2014'!K12</f>
        <v>216997.61</v>
      </c>
      <c r="L12" s="327">
        <f>'R 2014'!L12+'TRT 2014'!L12</f>
        <v>335585.47</v>
      </c>
      <c r="M12" s="327">
        <f>'R 2014'!M12+'TRT 2014'!M12</f>
        <v>133239.26999999999</v>
      </c>
      <c r="N12" s="497">
        <f t="shared" si="0"/>
        <v>1676148.433</v>
      </c>
      <c r="O12" s="388">
        <f>SUM('TOTAL 2013'!B12:M12)</f>
        <v>1537641.1800000002</v>
      </c>
      <c r="P12" s="474">
        <f t="shared" si="2"/>
        <v>9.0077746877200493E-2</v>
      </c>
      <c r="Q12" s="566">
        <f t="shared" si="1"/>
        <v>1.6294312044801872E-2</v>
      </c>
      <c r="T12" s="477"/>
    </row>
    <row r="13" spans="1:20">
      <c r="A13" s="151" t="s">
        <v>25</v>
      </c>
      <c r="B13" s="327">
        <f>'R 2014'!B13+'TRT 2014'!B13+'CR 2014'!C6</f>
        <v>109645.31000000001</v>
      </c>
      <c r="C13" s="327">
        <f>'R 2014'!C13+'TRT 2014'!C13+'CR 2014'!D6</f>
        <v>111509.93000000001</v>
      </c>
      <c r="D13" s="327">
        <f>'R 2014'!D13+'TRT 2014'!D13+'CR 2014'!E6</f>
        <v>58738.26</v>
      </c>
      <c r="E13" s="327">
        <f>'R 2014'!E13+'TRT 2014'!E13+'CR 2014'!F6</f>
        <v>86976.67</v>
      </c>
      <c r="F13" s="327">
        <f>'R 2014'!F13+'TRT 2014'!F13+'CR 2014'!G6</f>
        <v>324650.68</v>
      </c>
      <c r="G13" s="327">
        <f>'R 2014'!G13+'TRT 2014'!G13+'CR 2014'!H6</f>
        <v>400074.30000000005</v>
      </c>
      <c r="H13" s="327">
        <f>'R 2014'!H13+'TRT 2014'!H13+'CR 2014'!I6</f>
        <v>464503.29999999993</v>
      </c>
      <c r="I13" s="327">
        <f>'R 2014'!I13+'TRT 2014'!I13+'CR 2014'!J6</f>
        <v>599459.63</v>
      </c>
      <c r="J13" s="327">
        <f>'R 2014'!J13+'TRT 2014'!J13+'CR 2014'!K6</f>
        <v>378469.84</v>
      </c>
      <c r="K13" s="327">
        <f>'R 2014'!K13+'TRT 2014'!K13+'CR 2014'!L6</f>
        <v>444060.49</v>
      </c>
      <c r="L13" s="327">
        <f>'R 2014'!L13+'TRT 2014'!L13+'CR 2014'!M6</f>
        <v>594398.85999999987</v>
      </c>
      <c r="M13" s="327">
        <f>'R 2014'!M13+'TRT 2014'!M13+'CR 2014'!N6</f>
        <v>355362.89999999997</v>
      </c>
      <c r="N13" s="497">
        <f t="shared" si="0"/>
        <v>3927850.169999999</v>
      </c>
      <c r="O13" s="388">
        <f>SUM('TOTAL 2013'!B13:M13)</f>
        <v>3257803.23</v>
      </c>
      <c r="P13" s="474">
        <f t="shared" si="2"/>
        <v>0.20567446610334383</v>
      </c>
      <c r="Q13" s="566">
        <f t="shared" si="1"/>
        <v>3.8183740219627713E-2</v>
      </c>
    </row>
    <row r="14" spans="1:20">
      <c r="A14" s="151" t="s">
        <v>26</v>
      </c>
      <c r="B14" s="327">
        <f>'R 2014'!B14+'TRT 2014'!B14</f>
        <v>84862.19</v>
      </c>
      <c r="C14" s="327">
        <f>'R 2014'!C14+'TRT 2014'!C14</f>
        <v>123468.47</v>
      </c>
      <c r="D14" s="327">
        <f>'R 2014'!D14+'TRT 2014'!D14</f>
        <v>85827.59</v>
      </c>
      <c r="E14" s="327">
        <f>'R 2014'!E14+'TRT 2014'!E14</f>
        <v>105182.72</v>
      </c>
      <c r="F14" s="327">
        <f>'R 2014'!F14+'TRT 2014'!F14</f>
        <v>145494.47999999998</v>
      </c>
      <c r="G14" s="327">
        <f>'R 2014'!G14+'TRT 2014'!G14</f>
        <v>111991.87</v>
      </c>
      <c r="H14" s="327">
        <f>'R 2014'!H14+'TRT 2014'!H14</f>
        <v>127213.36</v>
      </c>
      <c r="I14" s="327">
        <f>'R 2014'!I14+'TRT 2014'!I14</f>
        <v>209845.81</v>
      </c>
      <c r="J14" s="327">
        <f>'R 2014'!J14+'TRT 2014'!J14</f>
        <v>146811.88</v>
      </c>
      <c r="K14" s="327">
        <f>'R 2014'!K14+'TRT 2014'!K14</f>
        <v>160355.85</v>
      </c>
      <c r="L14" s="327">
        <f>'R 2014'!L14+'TRT 2014'!L14</f>
        <v>203879.42</v>
      </c>
      <c r="M14" s="327">
        <f>'R 2014'!M14+'TRT 2014'!M14</f>
        <v>133070.48000000001</v>
      </c>
      <c r="N14" s="497">
        <f t="shared" si="0"/>
        <v>1638004.12</v>
      </c>
      <c r="O14" s="388">
        <f>SUM('TOTAL 2013'!B14:M14)</f>
        <v>1477442.02</v>
      </c>
      <c r="P14" s="474">
        <f t="shared" si="2"/>
        <v>0.10867573673043363</v>
      </c>
      <c r="Q14" s="566">
        <f t="shared" si="1"/>
        <v>1.5923500411106548E-2</v>
      </c>
    </row>
    <row r="15" spans="1:20">
      <c r="A15" s="151" t="s">
        <v>27</v>
      </c>
      <c r="B15" s="327">
        <f>'R 2014'!B15+'TRT 2014'!B15</f>
        <v>14595.91</v>
      </c>
      <c r="C15" s="327">
        <f>'R 2014'!C15+'TRT 2014'!C15</f>
        <v>20061.919999999998</v>
      </c>
      <c r="D15" s="327">
        <f>'R 2014'!D15+'TRT 2014'!D15</f>
        <v>6328.93</v>
      </c>
      <c r="E15" s="327">
        <f>'R 2014'!E15+'TRT 2014'!E15</f>
        <v>7500.4500000000007</v>
      </c>
      <c r="F15" s="327">
        <f>'R 2014'!F15+'TRT 2014'!F15</f>
        <v>23822.09</v>
      </c>
      <c r="G15" s="327">
        <f>'R 2014'!G15+'TRT 2014'!G15</f>
        <v>8484.7999999999993</v>
      </c>
      <c r="H15" s="327">
        <f>'R 2014'!H15+'TRT 2014'!H15</f>
        <v>11156.19</v>
      </c>
      <c r="I15" s="327">
        <f>'R 2014'!I15+'TRT 2014'!I15</f>
        <v>30314.05</v>
      </c>
      <c r="J15" s="327">
        <f>'R 2014'!J15+'TRT 2014'!J15</f>
        <v>13946.7</v>
      </c>
      <c r="K15" s="327">
        <f>'R 2014'!K15+'TRT 2014'!K15</f>
        <v>11728.939999999999</v>
      </c>
      <c r="L15" s="327">
        <f>'R 2014'!L15+'TRT 2014'!L15</f>
        <v>29134.67</v>
      </c>
      <c r="M15" s="327">
        <f>'R 2014'!M15+'TRT 2014'!M15</f>
        <v>8628.39</v>
      </c>
      <c r="N15" s="497">
        <f t="shared" si="0"/>
        <v>185703.04000000004</v>
      </c>
      <c r="O15" s="388">
        <f>SUM('TOTAL 2013'!B15:M15)</f>
        <v>168330.22999999998</v>
      </c>
      <c r="P15" s="474">
        <f t="shared" si="2"/>
        <v>0.1032067145633917</v>
      </c>
      <c r="Q15" s="566">
        <f t="shared" si="1"/>
        <v>1.8052716703690196E-3</v>
      </c>
    </row>
    <row r="16" spans="1:20">
      <c r="A16" s="151" t="s">
        <v>28</v>
      </c>
      <c r="B16" s="327">
        <f>'R 2014'!B16+'TRT 2014'!B16</f>
        <v>86687.73</v>
      </c>
      <c r="C16" s="327">
        <f>'R 2014'!C16+'TRT 2014'!C16</f>
        <v>73237.899999999994</v>
      </c>
      <c r="D16" s="327">
        <f>'R 2014'!D16+'TRT 2014'!D16</f>
        <v>46123.07</v>
      </c>
      <c r="E16" s="327">
        <f>'R 2014'!E16+'TRT 2014'!E16</f>
        <v>34115.58</v>
      </c>
      <c r="F16" s="327">
        <f>'R 2014'!F16+'TRT 2014'!F16</f>
        <v>107643.21</v>
      </c>
      <c r="G16" s="327">
        <f>'R 2014'!G16+'TRT 2014'!G16</f>
        <v>151184.06</v>
      </c>
      <c r="H16" s="327">
        <f>'R 2014'!H16+'TRT 2014'!H16</f>
        <v>190628.84</v>
      </c>
      <c r="I16" s="327">
        <f>'R 2014'!I16+'TRT 2014'!I16</f>
        <v>286648.08999999997</v>
      </c>
      <c r="J16" s="327">
        <f>'R 2014'!J16+'TRT 2014'!J16</f>
        <v>203519.61</v>
      </c>
      <c r="K16" s="327">
        <f>'R 2014'!K16+'TRT 2014'!K16</f>
        <v>212837.28999999998</v>
      </c>
      <c r="L16" s="327">
        <f>'R 2014'!L16+'TRT 2014'!L16</f>
        <v>282923.60000000003</v>
      </c>
      <c r="M16" s="327">
        <f>'R 2014'!M16+'TRT 2014'!M16</f>
        <v>197345.32</v>
      </c>
      <c r="N16" s="497">
        <f t="shared" si="0"/>
        <v>1872894.3</v>
      </c>
      <c r="O16" s="388">
        <f>SUM('TOTAL 2013'!B16:M16)</f>
        <v>1628443.4300000002</v>
      </c>
      <c r="P16" s="474">
        <f t="shared" si="2"/>
        <v>0.15011320964339547</v>
      </c>
      <c r="Q16" s="566">
        <f t="shared" si="1"/>
        <v>1.8206934153504516E-2</v>
      </c>
    </row>
    <row r="17" spans="1:21">
      <c r="A17" s="151" t="s">
        <v>52</v>
      </c>
      <c r="B17" s="327">
        <f>'TRT 2014'!B17</f>
        <v>6211.12</v>
      </c>
      <c r="C17" s="327">
        <f>'TRT 2014'!C17</f>
        <v>9587.08</v>
      </c>
      <c r="D17" s="327">
        <f>'TRT 2014'!D17</f>
        <v>4694.34</v>
      </c>
      <c r="E17" s="327">
        <f>'TRT 2014'!E17</f>
        <v>4784.2700000000004</v>
      </c>
      <c r="F17" s="327">
        <f>'TRT 2014'!F17</f>
        <v>11893.06</v>
      </c>
      <c r="G17" s="327">
        <f>'TRT 2014'!G17</f>
        <v>9246.93</v>
      </c>
      <c r="H17" s="327">
        <f>'TRT 2014'!H17</f>
        <v>6365.44</v>
      </c>
      <c r="I17" s="327">
        <f>'TRT 2014'!I17</f>
        <v>16609.28</v>
      </c>
      <c r="J17" s="327">
        <f>'TRT 2014'!J17</f>
        <v>9689.4599999999991</v>
      </c>
      <c r="K17" s="327">
        <f>'TRT 2014'!K17</f>
        <v>9096.26</v>
      </c>
      <c r="L17" s="327">
        <f>'TRT 2014'!L17</f>
        <v>13553.42</v>
      </c>
      <c r="M17" s="327">
        <f>'TRT 2014'!M17</f>
        <v>13542.03</v>
      </c>
      <c r="N17" s="497">
        <f t="shared" si="0"/>
        <v>115272.69</v>
      </c>
      <c r="O17" s="388">
        <f>SUM('TOTAL 2013'!B17:M17)</f>
        <v>119033.52</v>
      </c>
      <c r="P17" s="618">
        <f t="shared" si="2"/>
        <v>-3.159471382514778E-2</v>
      </c>
      <c r="Q17" s="566">
        <f t="shared" si="1"/>
        <v>1.120598357594093E-3</v>
      </c>
    </row>
    <row r="18" spans="1:21">
      <c r="A18" s="151" t="s">
        <v>29</v>
      </c>
      <c r="B18" s="327">
        <f>'R 2014'!B18+'TRT 2014'!B18+'CR 2014'!C7</f>
        <v>2503.98</v>
      </c>
      <c r="C18" s="327">
        <f>'R 2014'!C18+'TRT 2014'!C18+'CR 2014'!D7</f>
        <v>5068.7000000000007</v>
      </c>
      <c r="D18" s="327">
        <f>'R 2014'!D18+'TRT 2014'!D18+'CR 2014'!E7</f>
        <v>3265.41</v>
      </c>
      <c r="E18" s="327">
        <f>'R 2014'!E18+'TRT 2014'!E18+'CR 2014'!F7</f>
        <v>2812.32</v>
      </c>
      <c r="F18" s="327">
        <f>'R 2014'!F18+'TRT 2014'!F18+'CR 2014'!G7</f>
        <v>5803.44</v>
      </c>
      <c r="G18" s="327">
        <f>'R 2014'!G18+'TRT 2014'!G18+'CR 2014'!H7</f>
        <v>3049.99</v>
      </c>
      <c r="H18" s="327">
        <f>'R 2014'!H18+'TRT 2014'!H18+'CR 2014'!I7</f>
        <v>5209.6499999999996</v>
      </c>
      <c r="I18" s="327">
        <f>'R 2014'!I18+'TRT 2014'!I18+'CR 2014'!J7</f>
        <v>7558.5700000000006</v>
      </c>
      <c r="J18" s="327">
        <f>'R 2014'!J18+'TRT 2014'!J18+'CR 2014'!K7</f>
        <v>6830.17</v>
      </c>
      <c r="K18" s="327">
        <f>'R 2014'!K18+'TRT 2014'!K18+'CR 2014'!L7</f>
        <v>5687.78</v>
      </c>
      <c r="L18" s="327">
        <f>'R 2014'!L18+'TRT 2014'!L18+'CR 2014'!M7</f>
        <v>6553.82</v>
      </c>
      <c r="M18" s="327">
        <f>'R 2014'!M18+'TRT 2014'!M18+'CR 2014'!N7</f>
        <v>3871.8900000000003</v>
      </c>
      <c r="N18" s="497">
        <f t="shared" si="0"/>
        <v>58215.719999999994</v>
      </c>
      <c r="O18" s="388">
        <f>SUM('TOTAL 2013'!B18:M18)</f>
        <v>54912.570000000007</v>
      </c>
      <c r="P18" s="474">
        <f t="shared" si="2"/>
        <v>6.0152893954881215E-2</v>
      </c>
      <c r="Q18" s="566">
        <f t="shared" si="1"/>
        <v>5.659314467126392E-4</v>
      </c>
    </row>
    <row r="19" spans="1:21">
      <c r="A19" s="151" t="s">
        <v>53</v>
      </c>
      <c r="B19" s="327">
        <f>'TRT 2014'!B19</f>
        <v>1388.61</v>
      </c>
      <c r="C19" s="327">
        <f>'TRT 2014'!C19</f>
        <v>870.67</v>
      </c>
      <c r="D19" s="327">
        <f>'TRT 2014'!D19</f>
        <v>1153.32</v>
      </c>
      <c r="E19" s="327">
        <f>'TRT 2014'!E19</f>
        <v>100.94</v>
      </c>
      <c r="F19" s="327">
        <f>'TRT 2014'!F19</f>
        <v>494.96</v>
      </c>
      <c r="G19" s="327">
        <f>'TRT 2014'!G19</f>
        <v>0</v>
      </c>
      <c r="H19" s="327">
        <f>'TRT 2014'!H19</f>
        <v>2153.56</v>
      </c>
      <c r="I19" s="327">
        <f>'TRT 2014'!I19</f>
        <v>6359.12</v>
      </c>
      <c r="J19" s="327">
        <f>'TRT 2014'!J19</f>
        <v>512.34</v>
      </c>
      <c r="K19" s="327">
        <f>'TRT 2014'!K19</f>
        <v>4086.6</v>
      </c>
      <c r="L19" s="327">
        <f>'TRT 2014'!L19</f>
        <v>6738.28</v>
      </c>
      <c r="M19" s="327">
        <f>'TRT 2014'!M19</f>
        <v>239.91</v>
      </c>
      <c r="N19" s="497">
        <f t="shared" si="0"/>
        <v>24098.309999999998</v>
      </c>
      <c r="O19" s="388">
        <f>SUM('TOTAL 2013'!B19:M19)</f>
        <v>22911.919999999998</v>
      </c>
      <c r="P19" s="474">
        <f t="shared" si="2"/>
        <v>5.1780470602201811E-2</v>
      </c>
      <c r="Q19" s="566">
        <f t="shared" si="1"/>
        <v>2.3426647375708246E-4</v>
      </c>
    </row>
    <row r="20" spans="1:21">
      <c r="A20" s="151" t="s">
        <v>30</v>
      </c>
      <c r="B20" s="327">
        <f>'R 2014'!B19+'TRT 2014'!B20</f>
        <v>3123.63</v>
      </c>
      <c r="C20" s="327">
        <f>'R 2014'!C19+'TRT 2014'!C20</f>
        <v>8704.06</v>
      </c>
      <c r="D20" s="327">
        <f>'R 2014'!D19+'TRT 2014'!D20</f>
        <v>166.37</v>
      </c>
      <c r="E20" s="327">
        <f>'R 2014'!E19+'TRT 2014'!E20</f>
        <v>6229.97</v>
      </c>
      <c r="F20" s="327">
        <f>'R 2014'!F19+'TRT 2014'!F20</f>
        <v>6421.03</v>
      </c>
      <c r="G20" s="327">
        <f>'R 2014'!G19+'TRT 2014'!G20</f>
        <v>470.64</v>
      </c>
      <c r="H20" s="327">
        <f>'R 2014'!H19+'TRT 2014'!H20</f>
        <v>12201.35</v>
      </c>
      <c r="I20" s="327">
        <f>'R 2014'!I19+'TRT 2014'!I20</f>
        <v>39197.35</v>
      </c>
      <c r="J20" s="327">
        <f>'R 2014'!J19+'TRT 2014'!J20</f>
        <v>39741.11</v>
      </c>
      <c r="K20" s="327">
        <f>'R 2014'!K19+'TRT 2014'!K20</f>
        <v>31522.559999999998</v>
      </c>
      <c r="L20" s="327">
        <f>'R 2014'!L19+'TRT 2014'!L20</f>
        <v>54184.560000000005</v>
      </c>
      <c r="M20" s="327">
        <f>'R 2014'!M19+'TRT 2014'!M20</f>
        <v>11229.789999999999</v>
      </c>
      <c r="N20" s="497">
        <f t="shared" si="0"/>
        <v>213192.42</v>
      </c>
      <c r="O20" s="388">
        <f>SUM('TOTAL 2013'!B20:M20)</f>
        <v>191089.40000000002</v>
      </c>
      <c r="P20" s="474">
        <f t="shared" si="2"/>
        <v>0.11566847768636035</v>
      </c>
      <c r="Q20" s="566">
        <f t="shared" si="1"/>
        <v>2.0725036927958396E-3</v>
      </c>
    </row>
    <row r="21" spans="1:21">
      <c r="A21" s="151" t="s">
        <v>31</v>
      </c>
      <c r="B21" s="327">
        <f>'R 2014'!B20+'TRT 2014'!B21+'CR 2014'!C8</f>
        <v>2758283.59</v>
      </c>
      <c r="C21" s="327">
        <f>'R 2014'!C20+'TRT 2014'!C21+'CR 2014'!D8</f>
        <v>3529060.5100000002</v>
      </c>
      <c r="D21" s="327">
        <f>'R 2014'!D20+'TRT 2014'!D21+'CR 2014'!E8</f>
        <v>4101449.89</v>
      </c>
      <c r="E21" s="327">
        <f>'R 2014'!E20+'TRT 2014'!E21+'CR 2014'!F8</f>
        <v>3710797.68</v>
      </c>
      <c r="F21" s="327">
        <f>'R 2014'!F20+'TRT 2014'!F21+'CR 2014'!G8</f>
        <v>5265347.0599999996</v>
      </c>
      <c r="G21" s="327">
        <f>'R 2014'!G20+'TRT 2014'!G21+'CR 2014'!H8</f>
        <v>3385726.5</v>
      </c>
      <c r="H21" s="327">
        <f>'R 2014'!H20+'TRT 2014'!H21+'CR 2014'!I8</f>
        <v>3233088.45</v>
      </c>
      <c r="I21" s="327">
        <f>'R 2014'!I20+'TRT 2014'!I21+'CR 2014'!J8</f>
        <v>4254615.07</v>
      </c>
      <c r="J21" s="327">
        <f>'R 2014'!J20+'TRT 2014'!J21+'CR 2014'!K8</f>
        <v>3819730.58</v>
      </c>
      <c r="K21" s="327">
        <f>'R 2014'!K20+'TRT 2014'!K21+'CR 2014'!L8</f>
        <v>4358902.9000000004</v>
      </c>
      <c r="L21" s="327">
        <f>'R 2014'!L20+'TRT 2014'!L21+'CR 2014'!M8</f>
        <v>4265166.74</v>
      </c>
      <c r="M21" s="327">
        <f>'R 2014'!M20+'TRT 2014'!M21+'CR 2014'!N8</f>
        <v>3326344.58</v>
      </c>
      <c r="N21" s="497">
        <f t="shared" si="0"/>
        <v>46008513.549999997</v>
      </c>
      <c r="O21" s="388">
        <f>SUM('TOTAL 2013'!B21:M21)</f>
        <v>42490926.629999995</v>
      </c>
      <c r="P21" s="474">
        <f t="shared" si="2"/>
        <v>8.2784424793326705E-2</v>
      </c>
      <c r="Q21" s="566">
        <f t="shared" si="1"/>
        <v>0.44726174707535293</v>
      </c>
    </row>
    <row r="22" spans="1:21">
      <c r="A22" s="151" t="s">
        <v>45</v>
      </c>
      <c r="B22" s="327">
        <f>'R 2014'!B21+'TRT 2014'!B22</f>
        <v>21198.739999999998</v>
      </c>
      <c r="C22" s="327">
        <f>'R 2014'!C21+'TRT 2014'!C22</f>
        <v>32053.22</v>
      </c>
      <c r="D22" s="327">
        <f>'R 2014'!D21+'TRT 2014'!D22</f>
        <v>10877.82</v>
      </c>
      <c r="E22" s="327">
        <f>'R 2014'!E21+'TRT 2014'!E22</f>
        <v>13923.21</v>
      </c>
      <c r="F22" s="327">
        <f>'R 2014'!F21+'TRT 2014'!F22</f>
        <v>46923.85</v>
      </c>
      <c r="G22" s="327">
        <f>'R 2014'!G21+'TRT 2014'!G22</f>
        <v>42715.079999999994</v>
      </c>
      <c r="H22" s="327">
        <f>'R 2014'!H21+'TRT 2014'!H22</f>
        <v>92283.359999999986</v>
      </c>
      <c r="I22" s="327">
        <f>'R 2014'!I21+'TRT 2014'!I22</f>
        <v>111527.29000000001</v>
      </c>
      <c r="J22" s="327">
        <f>'R 2014'!J21+'TRT 2014'!J22</f>
        <v>75406.94</v>
      </c>
      <c r="K22" s="327">
        <f>'R 2014'!K21+'TRT 2014'!K22</f>
        <v>89348.94</v>
      </c>
      <c r="L22" s="327">
        <f>'R 2014'!L21+'TRT 2014'!L22</f>
        <v>132452.91</v>
      </c>
      <c r="M22" s="327">
        <f>'R 2014'!M21+'TRT 2014'!M22</f>
        <v>50878.58</v>
      </c>
      <c r="N22" s="497">
        <f t="shared" si="0"/>
        <v>719589.94</v>
      </c>
      <c r="O22" s="388">
        <f>SUM('TOTAL 2013'!B22:M22)</f>
        <v>638194.52</v>
      </c>
      <c r="P22" s="474">
        <f t="shared" si="2"/>
        <v>0.12754014246314727</v>
      </c>
      <c r="Q22" s="566">
        <f t="shared" si="1"/>
        <v>6.9953369259035409E-3</v>
      </c>
    </row>
    <row r="23" spans="1:21">
      <c r="A23" s="151" t="s">
        <v>32</v>
      </c>
      <c r="B23" s="327">
        <f>'R 2014'!B22+'TRT 2014'!B23</f>
        <v>8908.09</v>
      </c>
      <c r="C23" s="327">
        <f>'R 2014'!C22+'TRT 2014'!C23</f>
        <v>30057.53</v>
      </c>
      <c r="D23" s="327">
        <f>'R 2014'!D22+'TRT 2014'!D23</f>
        <v>10742.220000000001</v>
      </c>
      <c r="E23" s="327">
        <f>'R 2014'!E22+'TRT 2014'!E23</f>
        <v>7817.66</v>
      </c>
      <c r="F23" s="327">
        <f>'R 2014'!F22+'TRT 2014'!F23</f>
        <v>28111.08</v>
      </c>
      <c r="G23" s="327">
        <f>'R 2014'!G22+'TRT 2014'!G23</f>
        <v>8833.09</v>
      </c>
      <c r="H23" s="327">
        <f>'R 2014'!H22+'TRT 2014'!H23</f>
        <v>11301.84</v>
      </c>
      <c r="I23" s="327">
        <f>'R 2014'!I22+'TRT 2014'!I23</f>
        <v>37855.97</v>
      </c>
      <c r="J23" s="327">
        <f>'R 2014'!J22+'TRT 2014'!J23</f>
        <v>14363.06</v>
      </c>
      <c r="K23" s="327">
        <f>'R 2014'!K22+'TRT 2014'!K23</f>
        <v>16491.64</v>
      </c>
      <c r="L23" s="327">
        <f>'R 2014'!L22+'TRT 2014'!L23</f>
        <v>36990.19</v>
      </c>
      <c r="M23" s="327">
        <f>'R 2014'!M22+'TRT 2014'!M23</f>
        <v>5199.95</v>
      </c>
      <c r="N23" s="497">
        <f t="shared" si="0"/>
        <v>216672.32</v>
      </c>
      <c r="O23" s="388">
        <f>SUM('TOTAL 2013'!B23:M23)</f>
        <v>206829.03999999998</v>
      </c>
      <c r="P23" s="474">
        <f t="shared" si="2"/>
        <v>4.7591382718790598E-2</v>
      </c>
      <c r="Q23" s="566">
        <f t="shared" si="1"/>
        <v>2.1063327829696846E-3</v>
      </c>
    </row>
    <row r="24" spans="1:21">
      <c r="A24" s="151" t="s">
        <v>33</v>
      </c>
      <c r="B24" s="327">
        <f>'R 2014'!B23+'TRT 2014'!B24+'CR 2014'!C9</f>
        <v>33378.050000000003</v>
      </c>
      <c r="C24" s="327">
        <f>'R 2014'!C23+'TRT 2014'!C24+'CR 2014'!D9</f>
        <v>53119.770000000004</v>
      </c>
      <c r="D24" s="327">
        <f>'R 2014'!D23+'TRT 2014'!D24+'CR 2014'!E9</f>
        <v>35779.949999999997</v>
      </c>
      <c r="E24" s="327">
        <f>'R 2014'!E23+'TRT 2014'!E24+'CR 2014'!F9</f>
        <v>35425.01</v>
      </c>
      <c r="F24" s="327">
        <f>'R 2014'!F23+'TRT 2014'!F24+'CR 2014'!G9</f>
        <v>63631.199999999997</v>
      </c>
      <c r="G24" s="327">
        <f>'R 2014'!G23+'TRT 2014'!G24+'CR 2014'!H9</f>
        <v>45500.800000000003</v>
      </c>
      <c r="H24" s="327">
        <f>'R 2014'!H23+'TRT 2014'!H24+'CR 2014'!I9</f>
        <v>54951.82</v>
      </c>
      <c r="I24" s="327">
        <f>'R 2014'!I23+'TRT 2014'!I24+'CR 2014'!J9</f>
        <v>98328.77</v>
      </c>
      <c r="J24" s="327">
        <f>'R 2014'!J23+'TRT 2014'!J24+'CR 2014'!K9</f>
        <v>79442.720000000001</v>
      </c>
      <c r="K24" s="327">
        <f>'R 2014'!K23+'TRT 2014'!K24+'CR 2014'!L9</f>
        <v>66608.539999999994</v>
      </c>
      <c r="L24" s="327">
        <f>'R 2014'!L23+'TRT 2014'!L24+'CR 2014'!M9</f>
        <v>87362.65</v>
      </c>
      <c r="M24" s="327">
        <f>'R 2014'!M23+'TRT 2014'!M24+'CR 2014'!N9</f>
        <v>48014.659999999996</v>
      </c>
      <c r="N24" s="497">
        <f t="shared" si="0"/>
        <v>701543.94000000006</v>
      </c>
      <c r="O24" s="388">
        <f>SUM('TOTAL 2013'!B24:M24)</f>
        <v>677652.16000000015</v>
      </c>
      <c r="P24" s="474">
        <f t="shared" si="2"/>
        <v>3.5256701609273966E-2</v>
      </c>
      <c r="Q24" s="566">
        <f t="shared" si="1"/>
        <v>6.819906666046302E-3</v>
      </c>
    </row>
    <row r="25" spans="1:21">
      <c r="A25" s="151" t="s">
        <v>34</v>
      </c>
      <c r="B25" s="327">
        <f>'R 2014'!B24+'TRT 2014'!B25</f>
        <v>390471.47000000003</v>
      </c>
      <c r="C25" s="327">
        <f>'R 2014'!C24+'TRT 2014'!C25</f>
        <v>1161444.3999999999</v>
      </c>
      <c r="D25" s="327">
        <f>'R 2014'!D24+'TRT 2014'!D25</f>
        <v>1604265.39</v>
      </c>
      <c r="E25" s="327">
        <f>'R 2014'!E24+'TRT 2014'!E25</f>
        <v>1761582.3599999999</v>
      </c>
      <c r="F25" s="327">
        <f>'R 2014'!F24+'TRT 2014'!F25</f>
        <v>1351718.83</v>
      </c>
      <c r="G25" s="327">
        <f>'R 2014'!G24+'TRT 2014'!G25</f>
        <v>258809.15999999997</v>
      </c>
      <c r="H25" s="327">
        <f>'R 2014'!H24+'TRT 2014'!H25</f>
        <v>223469.91999999998</v>
      </c>
      <c r="I25" s="327">
        <f>'R 2014'!I24+'TRT 2014'!I25</f>
        <v>545639.01</v>
      </c>
      <c r="J25" s="327">
        <f>'R 2014'!J24+'TRT 2014'!J25</f>
        <v>643761.47</v>
      </c>
      <c r="K25" s="327">
        <f>'R 2014'!K24+'TRT 2014'!K25</f>
        <v>494384.92000000004</v>
      </c>
      <c r="L25" s="327">
        <f>'R 2014'!L24+'TRT 2014'!L25</f>
        <v>480789.85</v>
      </c>
      <c r="M25" s="327">
        <f>'R 2014'!M24+'TRT 2014'!M25</f>
        <v>331638.86</v>
      </c>
      <c r="N25" s="497">
        <f t="shared" si="0"/>
        <v>9247975.6399999987</v>
      </c>
      <c r="O25" s="388">
        <f>SUM('TOTAL 2013'!B25:M25)</f>
        <v>8576350.3599999994</v>
      </c>
      <c r="P25" s="474">
        <f t="shared" si="2"/>
        <v>7.8311315630533507E-2</v>
      </c>
      <c r="Q25" s="566">
        <f t="shared" si="1"/>
        <v>8.99021816290934E-2</v>
      </c>
    </row>
    <row r="26" spans="1:21">
      <c r="A26" s="151" t="s">
        <v>35</v>
      </c>
      <c r="B26" s="327">
        <f>'R 2014'!B25+'TRT 2014'!B26</f>
        <v>49060.83</v>
      </c>
      <c r="C26" s="327">
        <f>'R 2014'!C25+'TRT 2014'!C26</f>
        <v>62862.25</v>
      </c>
      <c r="D26" s="327">
        <f>'R 2014'!D25+'TRT 2014'!D26</f>
        <v>44836.78</v>
      </c>
      <c r="E26" s="327">
        <f>'R 2014'!E25+'TRT 2014'!E26</f>
        <v>40738.270000000004</v>
      </c>
      <c r="F26" s="327">
        <f>'R 2014'!F25+'TRT 2014'!F26</f>
        <v>88447.58</v>
      </c>
      <c r="G26" s="327">
        <f>'R 2014'!G25+'TRT 2014'!G26</f>
        <v>47859.65</v>
      </c>
      <c r="H26" s="327">
        <f>'R 2014'!H25+'TRT 2014'!H26</f>
        <v>59857.490000000005</v>
      </c>
      <c r="I26" s="327">
        <f>'R 2014'!I25+'TRT 2014'!I26</f>
        <v>102389.01999999999</v>
      </c>
      <c r="J26" s="327">
        <f>'R 2014'!J25+'TRT 2014'!J26</f>
        <v>73886.19</v>
      </c>
      <c r="K26" s="327">
        <f>'R 2014'!K25+'TRT 2014'!K26</f>
        <v>70359.45</v>
      </c>
      <c r="L26" s="327">
        <f>'R 2014'!L25+'TRT 2014'!L26</f>
        <v>97023.790000000008</v>
      </c>
      <c r="M26" s="327">
        <f>'R 2014'!M25+'TRT 2014'!M26</f>
        <v>52108.47</v>
      </c>
      <c r="N26" s="497">
        <f t="shared" si="0"/>
        <v>789429.77</v>
      </c>
      <c r="O26" s="388">
        <f>SUM('TOTAL 2013'!B26:M26)</f>
        <v>767949.5</v>
      </c>
      <c r="P26" s="474">
        <f t="shared" si="2"/>
        <v>2.7970940797539479E-2</v>
      </c>
      <c r="Q26" s="566">
        <f t="shared" si="1"/>
        <v>7.6742696270719673E-3</v>
      </c>
    </row>
    <row r="27" spans="1:21" s="154" customFormat="1">
      <c r="A27" s="151" t="s">
        <v>36</v>
      </c>
      <c r="B27" s="327">
        <f>'R 2014'!B26+'CR 2014'!C10+'TRT 2014'!B27</f>
        <v>74352.66</v>
      </c>
      <c r="C27" s="327">
        <f>'R 2014'!C26+'CR 2014'!D10+'TRT 2014'!C27</f>
        <v>109738.53</v>
      </c>
      <c r="D27" s="327">
        <f>'R 2014'!D26+'CR 2014'!E10+'TRT 2014'!D27</f>
        <v>76331.239999999991</v>
      </c>
      <c r="E27" s="327">
        <f>'R 2014'!E26+'CR 2014'!F10+'TRT 2014'!E27</f>
        <v>59051.09</v>
      </c>
      <c r="F27" s="327">
        <f>'R 2014'!F26+'CR 2014'!G10+'TRT 2014'!F27</f>
        <v>119490.48999999999</v>
      </c>
      <c r="G27" s="327">
        <f>'R 2014'!G26+'CR 2014'!H10+'TRT 2014'!G27</f>
        <v>92531.87</v>
      </c>
      <c r="H27" s="327">
        <f>'R 2014'!H26+'CR 2014'!I10+'TRT 2014'!H27</f>
        <v>119269.70000000001</v>
      </c>
      <c r="I27" s="327">
        <f>'R 2014'!I26+'CR 2014'!J8+'TRT 2014'!I27</f>
        <v>1073596.92</v>
      </c>
      <c r="J27" s="327">
        <f>'R 2014'!J26+'CR 2014'!K10+'TRT 2014'!J27</f>
        <v>135508.46</v>
      </c>
      <c r="K27" s="327">
        <f>'R 2014'!K26+'CR 2014'!L10+'TRT 2014'!K27</f>
        <v>113950.40000000001</v>
      </c>
      <c r="L27" s="327">
        <f>'R 2014'!L26+'CR 2014'!M10+'TRT 2014'!L27</f>
        <v>142658.9</v>
      </c>
      <c r="M27" s="327">
        <f>'R 2014'!M26+'CR 2014'!N10+'TRT 2014'!M27</f>
        <v>92448.52</v>
      </c>
      <c r="N27" s="497">
        <f t="shared" si="0"/>
        <v>2208928.7799999998</v>
      </c>
      <c r="O27" s="388">
        <f>SUM('TOTAL 2013'!B27:M27)</f>
        <v>1331621.54</v>
      </c>
      <c r="P27" s="474">
        <f t="shared" si="2"/>
        <v>0.65882626080079754</v>
      </c>
      <c r="Q27" s="566">
        <f t="shared" si="1"/>
        <v>2.1473620186275893E-2</v>
      </c>
    </row>
    <row r="28" spans="1:21">
      <c r="A28" s="151" t="s">
        <v>37</v>
      </c>
      <c r="B28" s="327">
        <f>'R 2014'!B27+'CR 2014'!C11+'TRT 2014'!B28</f>
        <v>602776.28</v>
      </c>
      <c r="C28" s="327">
        <f>'R 2014'!C27+'CR 2014'!D11+'TRT 2014'!C28</f>
        <v>797175.42</v>
      </c>
      <c r="D28" s="327">
        <f>'R 2014'!D27+'CR 2014'!E11+'TRT 2014'!D28</f>
        <v>688692.05</v>
      </c>
      <c r="E28" s="327">
        <f>'R 2014'!E27+'CR 2014'!F11+'TRT 2014'!E28</f>
        <v>605494.04</v>
      </c>
      <c r="F28" s="327">
        <f>'R 2014'!F27+'CR 2014'!G11+'TRT 2014'!F28</f>
        <v>971965.96</v>
      </c>
      <c r="G28" s="327">
        <f>'R 2014'!G27+'CR 2014'!H11+'TRT 2014'!G28</f>
        <v>678493.96</v>
      </c>
      <c r="H28" s="327">
        <f>'R 2014'!H27+'CR 2014'!I11+'TRT 2014'!H28</f>
        <v>703411.87</v>
      </c>
      <c r="I28" s="327">
        <f>'R 2014'!I27+'CR 2014'!J11+'TRT 2014'!I28</f>
        <v>955193.74</v>
      </c>
      <c r="J28" s="327">
        <f>'R 2014'!J27+'CR 2014'!K11+'TRT 2014'!J28</f>
        <v>853482.80999999994</v>
      </c>
      <c r="K28" s="327">
        <f>'R 2014'!K27+'CR 2014'!L11+'TRT 2014'!K28</f>
        <v>890390.06</v>
      </c>
      <c r="L28" s="327">
        <f>'R 2014'!L27+'CR 2014'!M11+'TRT 2014'!L28</f>
        <v>949214.67</v>
      </c>
      <c r="M28" s="327">
        <f>'R 2014'!M27+'CR 2014'!N11+'TRT 2014'!M28</f>
        <v>772442.65999999992</v>
      </c>
      <c r="N28" s="497">
        <f t="shared" si="0"/>
        <v>9468733.5199999996</v>
      </c>
      <c r="O28" s="388">
        <f>SUM('TOTAL 2013'!B28:M28)</f>
        <v>8747154.8499999996</v>
      </c>
      <c r="P28" s="474">
        <f t="shared" si="2"/>
        <v>8.2492957124224331E-2</v>
      </c>
      <c r="Q28" s="566">
        <f t="shared" si="1"/>
        <v>9.2048231294057023E-2</v>
      </c>
      <c r="U28" s="154"/>
    </row>
    <row r="29" spans="1:21">
      <c r="A29" s="151" t="s">
        <v>38</v>
      </c>
      <c r="B29" s="327">
        <f>'R 2014'!B28+'TRT 2014'!B29</f>
        <v>43493.09</v>
      </c>
      <c r="C29" s="327">
        <f>'R 2014'!C28+'TRT 2014'!C29</f>
        <v>200204.14</v>
      </c>
      <c r="D29" s="327">
        <f>'R 2014'!D28+'TRT 2014'!D29</f>
        <v>288505.17</v>
      </c>
      <c r="E29" s="327">
        <f>'R 2014'!E28+'TRT 2014'!E29</f>
        <v>231149.52999999997</v>
      </c>
      <c r="F29" s="327">
        <f>'R 2014'!F28+'TRT 2014'!F29</f>
        <v>265694.84999999998</v>
      </c>
      <c r="G29" s="327">
        <f>'R 2014'!G28+'TRT 2014'!G29</f>
        <v>82207.34</v>
      </c>
      <c r="H29" s="327">
        <f>'R 2014'!H28+'TRT 2014'!H29</f>
        <v>54910.94</v>
      </c>
      <c r="I29" s="327">
        <f>'R 2014'!I28+'TRT 2014'!I29</f>
        <v>139800.81</v>
      </c>
      <c r="J29" s="327">
        <f>'R 2014'!J28+'TRT 2014'!J29</f>
        <v>167393</v>
      </c>
      <c r="K29" s="327">
        <f>'R 2014'!K28+'TRT 2014'!K29</f>
        <v>145637.38</v>
      </c>
      <c r="L29" s="327">
        <f>'R 2014'!L28+'TRT 2014'!L29</f>
        <v>139368.15000000002</v>
      </c>
      <c r="M29" s="327">
        <f>'R 2014'!M28+'TRT 2014'!M29</f>
        <v>79463.87</v>
      </c>
      <c r="N29" s="497">
        <f t="shared" si="0"/>
        <v>1837828.27</v>
      </c>
      <c r="O29" s="388">
        <f>SUM('TOTAL 2013'!B29:M29)</f>
        <v>1786010.0499999996</v>
      </c>
      <c r="P29" s="474">
        <f t="shared" si="2"/>
        <v>2.9013397768954619E-2</v>
      </c>
      <c r="Q29" s="566">
        <f t="shared" si="1"/>
        <v>1.7866047377761318E-2</v>
      </c>
      <c r="U29" s="154"/>
    </row>
    <row r="30" spans="1:21">
      <c r="A30" s="92" t="s">
        <v>39</v>
      </c>
      <c r="B30" s="327">
        <f>'R 2014'!B29+'CR 2014'!C12+'TRT 2014'!B30</f>
        <v>421932.55000000005</v>
      </c>
      <c r="C30" s="327">
        <f>'R 2014'!C29+'CR 2014'!D12+'TRT 2014'!C30</f>
        <v>465740.4</v>
      </c>
      <c r="D30" s="327">
        <f>'R 2014'!D29+'CR 2014'!E12+'TRT 2014'!D30</f>
        <v>383542.66000000003</v>
      </c>
      <c r="E30" s="327">
        <f>'R 2014'!E29+'CR 2014'!F12+'TRT 2014'!E30</f>
        <v>445171.98</v>
      </c>
      <c r="F30" s="327">
        <f>'R 2014'!F29+'CR 2014'!G12+'TRT 2014'!F30</f>
        <v>822907.32000000007</v>
      </c>
      <c r="G30" s="327">
        <f>'R 2014'!G29+'CR 2014'!H12+'TRT 2014'!G30</f>
        <v>681892.83000000007</v>
      </c>
      <c r="H30" s="327">
        <f>'R 2014'!H29+'CR 2014'!I12+'TRT 2014'!H30</f>
        <v>719608.36</v>
      </c>
      <c r="I30" s="327">
        <f>'R 2014'!I29+'CR 2014'!J12+'TRT 2014'!I30</f>
        <v>893099.53999999992</v>
      </c>
      <c r="J30" s="327">
        <f>'R 2014'!J29+'CR 2014'!K12+'TRT 2014'!J30</f>
        <v>685169.26</v>
      </c>
      <c r="K30" s="327">
        <f>'R 2014'!K29+'CR 2014'!L12+'TRT 2014'!K30</f>
        <v>732008.47</v>
      </c>
      <c r="L30" s="327">
        <f>'R 2014'!L29+'CR 2014'!M12+'TRT 2014'!L30</f>
        <v>935389.47</v>
      </c>
      <c r="M30" s="327">
        <f>'R 2014'!M29+'CR 2014'!N12+'TRT 2014'!M30</f>
        <v>669365.5</v>
      </c>
      <c r="N30" s="497">
        <f t="shared" si="0"/>
        <v>7855828.3399999989</v>
      </c>
      <c r="O30" s="388">
        <f>SUM('TOTAL 2013'!B30:M30)</f>
        <v>6852632.6599999992</v>
      </c>
      <c r="P30" s="474">
        <f t="shared" si="2"/>
        <v>0.14639565985432523</v>
      </c>
      <c r="Q30" s="566">
        <f t="shared" si="1"/>
        <v>7.6368724763386089E-2</v>
      </c>
      <c r="U30" s="154"/>
    </row>
    <row r="31" spans="1:21">
      <c r="A31" s="92" t="s">
        <v>40</v>
      </c>
      <c r="B31" s="327">
        <f>'R 2014'!B30+'TRT 2014'!B31</f>
        <v>8203.9599999999991</v>
      </c>
      <c r="C31" s="327">
        <f>'R 2014'!C30+'TRT 2014'!C31</f>
        <v>20766.93</v>
      </c>
      <c r="D31" s="327">
        <f>'R 2014'!D30+'TRT 2014'!D31</f>
        <v>3408.13</v>
      </c>
      <c r="E31" s="327">
        <f>'R 2014'!E30+'TRT 2014'!E31</f>
        <v>3871.5</v>
      </c>
      <c r="F31" s="327">
        <f>'R 2014'!F30+'TRT 2014'!F31</f>
        <v>14318.53</v>
      </c>
      <c r="G31" s="327">
        <f>'R 2014'!G30+'TRT 2014'!G31</f>
        <v>18509.72</v>
      </c>
      <c r="H31" s="327">
        <f>'R 2014'!H30+'TRT 2014'!H31</f>
        <v>30369.010000000002</v>
      </c>
      <c r="I31" s="327">
        <f>'R 2014'!I30+'TRT 2014'!I31</f>
        <v>71439.89</v>
      </c>
      <c r="J31" s="327">
        <f>'R 2014'!J30+'TRT 2014'!J31</f>
        <v>27669.13</v>
      </c>
      <c r="K31" s="327">
        <f>'R 2014'!K30+'TRT 2014'!K31</f>
        <v>39387.26</v>
      </c>
      <c r="L31" s="327">
        <f>'R 2014'!L30+'TRT 2014'!L31</f>
        <v>66477.929999999993</v>
      </c>
      <c r="M31" s="327">
        <f>'R 2014'!M30+'TRT 2014'!M31</f>
        <v>23903.87</v>
      </c>
      <c r="N31" s="497">
        <f t="shared" si="0"/>
        <v>328325.86</v>
      </c>
      <c r="O31" s="388">
        <f>SUM('TOTAL 2013'!B31:M31)</f>
        <v>284037.58999999997</v>
      </c>
      <c r="P31" s="474">
        <f t="shared" si="2"/>
        <v>0.15592397471053054</v>
      </c>
      <c r="Q31" s="566">
        <f t="shared" si="1"/>
        <v>3.191748361833736E-3</v>
      </c>
    </row>
    <row r="32" spans="1:21" ht="13" thickBot="1">
      <c r="A32" s="93" t="s">
        <v>41</v>
      </c>
      <c r="B32" s="499">
        <f>'R 2014'!B31+'CR 2014'!C13+'TRT 2014'!B32</f>
        <v>271640.93</v>
      </c>
      <c r="C32" s="499">
        <f>'R 2014'!C31+'CR 2014'!D13+'TRT 2014'!C32</f>
        <v>367750.56999999995</v>
      </c>
      <c r="D32" s="499">
        <f>'R 2014'!D31+'CR 2014'!E13+'TRT 2014'!D32</f>
        <v>319316.66000000003</v>
      </c>
      <c r="E32" s="499">
        <f>'R 2014'!E31+'CR 2014'!F13+'TRT 2014'!E32</f>
        <v>295043.04000000004</v>
      </c>
      <c r="F32" s="499">
        <f>'R 2014'!F31+'CR 2014'!G13+'TRT 2014'!F32</f>
        <v>476746.4</v>
      </c>
      <c r="G32" s="499">
        <f>'R 2014'!G31+'CR 2014'!H13+'TRT 2014'!G32</f>
        <v>335013.91000000003</v>
      </c>
      <c r="H32" s="499">
        <f>'R 2014'!H31+'CR 2014'!I13+'TRT 2014'!H32</f>
        <v>311613.91000000003</v>
      </c>
      <c r="I32" s="499">
        <f>'R 2014'!I31+'CR 2014'!J13+'TRT 2014'!I32</f>
        <v>467733.43000000005</v>
      </c>
      <c r="J32" s="499">
        <f>'R 2014'!J31+'CR 2014'!K13+'TRT 2014'!J32</f>
        <v>395668.57000000007</v>
      </c>
      <c r="K32" s="499">
        <f>'R 2014'!K31+'CR 2014'!L13+'TRT 2014'!K32</f>
        <v>363257.01</v>
      </c>
      <c r="L32" s="499">
        <f>'R 2014'!L31+'CR 2014'!M13+'TRT 2014'!L32</f>
        <v>460327.08999999997</v>
      </c>
      <c r="M32" s="499">
        <f>'R 2014'!M31+'CR 2014'!N13+'TRT 2014'!M32</f>
        <v>320580.69999999995</v>
      </c>
      <c r="N32" s="500">
        <f t="shared" si="0"/>
        <v>4384692.2200000007</v>
      </c>
      <c r="O32" s="388">
        <f>SUM('TOTAL 2013'!B32:M32)</f>
        <v>4100815.46</v>
      </c>
      <c r="P32" s="475">
        <f>N32/O32-1</f>
        <v>6.9224465906593258E-2</v>
      </c>
      <c r="Q32" s="567">
        <f t="shared" si="1"/>
        <v>4.2624830740807716E-2</v>
      </c>
    </row>
    <row r="33" spans="1:21" ht="14" thickTop="1" thickBot="1">
      <c r="A33" s="470" t="s">
        <v>54</v>
      </c>
      <c r="B33" s="501">
        <f t="shared" ref="B33:N33" si="3">SUM(B4:B32)</f>
        <v>5567029.0599999996</v>
      </c>
      <c r="C33" s="502">
        <f t="shared" si="3"/>
        <v>7985159.6030000001</v>
      </c>
      <c r="D33" s="501">
        <f t="shared" si="3"/>
        <v>8405406.6400000006</v>
      </c>
      <c r="E33" s="501">
        <f t="shared" si="3"/>
        <v>8024960.4889999991</v>
      </c>
      <c r="F33" s="501">
        <f t="shared" si="3"/>
        <v>11142065.92</v>
      </c>
      <c r="G33" s="501">
        <f t="shared" si="3"/>
        <v>7165009.7699999996</v>
      </c>
      <c r="H33" s="503">
        <f t="shared" si="3"/>
        <v>7364914.0400000019</v>
      </c>
      <c r="I33" s="501">
        <f t="shared" si="3"/>
        <v>11325423.009999998</v>
      </c>
      <c r="J33" s="501">
        <f t="shared" si="3"/>
        <v>8818117.0500000007</v>
      </c>
      <c r="K33" s="501">
        <f t="shared" si="3"/>
        <v>9336118.1799999997</v>
      </c>
      <c r="L33" s="501">
        <f t="shared" si="3"/>
        <v>10384484.420000002</v>
      </c>
      <c r="M33" s="504">
        <f t="shared" si="3"/>
        <v>7348399.9400000004</v>
      </c>
      <c r="N33" s="505">
        <f t="shared" si="3"/>
        <v>102867088.12199998</v>
      </c>
      <c r="O33" s="453">
        <f>SUM(O4:O32)</f>
        <v>93637467.918999985</v>
      </c>
      <c r="P33" s="476">
        <f>(N33-O33)/O33</f>
        <v>9.8567597011315719E-2</v>
      </c>
      <c r="Q33" s="568">
        <f>SUM(Q4:Q32)</f>
        <v>1</v>
      </c>
      <c r="R33" s="121"/>
      <c r="U33" s="219"/>
    </row>
    <row r="34" spans="1:21" ht="13" thickBot="1">
      <c r="A34" s="537"/>
      <c r="B34" s="538">
        <f>B33/'TOTAL 2013'!B33-1</f>
        <v>9.5155748653441563E-3</v>
      </c>
      <c r="C34" s="538">
        <f>C33/'TOTAL 2013'!C33-1</f>
        <v>3.8484586886388561E-2</v>
      </c>
      <c r="D34" s="538">
        <f>D33/'TOTAL 2013'!D33-1</f>
        <v>9.3221689596913349E-2</v>
      </c>
      <c r="E34" s="538">
        <f>E33/'TOTAL 2013'!E33-1</f>
        <v>0.14573484938914305</v>
      </c>
      <c r="F34" s="538">
        <f>F33/'TOTAL 2013'!F33-1</f>
        <v>0.11213407787557728</v>
      </c>
      <c r="G34" s="538">
        <f>G33/'TOTAL 2013'!G33-1</f>
        <v>7.6686135900445818E-2</v>
      </c>
      <c r="H34" s="538">
        <f>H33/'TOTAL 2013'!H33-1</f>
        <v>7.8798478616539658E-2</v>
      </c>
      <c r="I34" s="538">
        <f>I33/'TOTAL 2013'!I33-1</f>
        <v>0.17368136326286066</v>
      </c>
      <c r="J34" s="538">
        <f>J33/'TOTAL 2013'!J33-1</f>
        <v>7.0520437856520068E-2</v>
      </c>
      <c r="K34" s="538">
        <f>K33/'TOTAL 2013'!K33-1</f>
        <v>0.125493433142988</v>
      </c>
      <c r="L34" s="538">
        <f>L33/'TOTAL 2013'!L33-1</f>
        <v>0.11239730667838943</v>
      </c>
      <c r="M34" s="538">
        <f>M33/'TOTAL 2013'!M33-1</f>
        <v>9.2950399234025483E-2</v>
      </c>
      <c r="N34" s="569"/>
      <c r="O34" s="570"/>
      <c r="P34" s="571"/>
      <c r="Q34" s="574"/>
    </row>
    <row r="36" spans="1:21">
      <c r="I36" s="116"/>
    </row>
    <row r="37" spans="1:21">
      <c r="I37" s="116"/>
      <c r="J37" s="121"/>
      <c r="O37" s="100"/>
      <c r="U37" s="227"/>
    </row>
    <row r="38" spans="1:21">
      <c r="I38" s="116"/>
      <c r="J38" s="121"/>
    </row>
    <row r="39" spans="1:2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21">
      <c r="I40" s="116"/>
    </row>
    <row r="41" spans="1:21">
      <c r="I41" s="116"/>
    </row>
    <row r="84" spans="16:16" ht="13" thickBot="1">
      <c r="P84" s="169"/>
    </row>
  </sheetData>
  <mergeCells count="1">
    <mergeCell ref="A1:Q1"/>
  </mergeCells>
  <printOptions horizontalCentered="1"/>
  <pageMargins left="0" right="0" top="0.75" bottom="0.5" header="0.25" footer="0.25"/>
  <pageSetup scale="89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 enableFormatConditionsCalculation="0">
    <tabColor rgb="FFFFFF00"/>
  </sheetPr>
  <dimension ref="A1:Q36"/>
  <sheetViews>
    <sheetView workbookViewId="0">
      <pane xSplit="1" ySplit="3" topLeftCell="B4" activePane="bottomRight" state="frozen"/>
      <selection activeCell="H31" sqref="H31"/>
      <selection pane="topRight" activeCell="H31" sqref="H31"/>
      <selection pane="bottomLeft" activeCell="H31" sqref="H31"/>
      <selection pane="bottomRight" activeCell="H31" sqref="H31"/>
    </sheetView>
  </sheetViews>
  <sheetFormatPr baseColWidth="10" defaultColWidth="8.83203125" defaultRowHeight="12" x14ac:dyDescent="0"/>
  <cols>
    <col min="2" max="2" width="9.5" bestFit="1" customWidth="1"/>
    <col min="14" max="15" width="9.5" bestFit="1" customWidth="1"/>
  </cols>
  <sheetData>
    <row r="1" spans="1:17" ht="21">
      <c r="A1" s="691" t="s">
        <v>98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17" ht="13" thickBo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3" thickBot="1">
      <c r="A3" s="129" t="s">
        <v>42</v>
      </c>
      <c r="B3" s="130" t="s">
        <v>2</v>
      </c>
      <c r="C3" s="131" t="s">
        <v>3</v>
      </c>
      <c r="D3" s="131" t="s">
        <v>4</v>
      </c>
      <c r="E3" s="131" t="s">
        <v>5</v>
      </c>
      <c r="F3" s="131" t="s">
        <v>6</v>
      </c>
      <c r="G3" s="131" t="s">
        <v>7</v>
      </c>
      <c r="H3" s="131" t="s">
        <v>8</v>
      </c>
      <c r="I3" s="131" t="s">
        <v>9</v>
      </c>
      <c r="J3" s="131" t="s">
        <v>10</v>
      </c>
      <c r="K3" s="131" t="s">
        <v>11</v>
      </c>
      <c r="L3" s="131" t="s">
        <v>12</v>
      </c>
      <c r="M3" s="132" t="s">
        <v>13</v>
      </c>
      <c r="N3" s="25" t="s">
        <v>99</v>
      </c>
      <c r="O3" s="131" t="s">
        <v>92</v>
      </c>
      <c r="P3" s="135" t="s">
        <v>16</v>
      </c>
      <c r="Q3" s="136" t="s">
        <v>42</v>
      </c>
    </row>
    <row r="4" spans="1:17">
      <c r="A4" s="37" t="s">
        <v>17</v>
      </c>
      <c r="B4" s="9">
        <v>1717.08</v>
      </c>
      <c r="C4" s="10">
        <v>9890.57</v>
      </c>
      <c r="D4" s="10">
        <v>3629.64</v>
      </c>
      <c r="E4" s="10">
        <v>2878.81</v>
      </c>
      <c r="F4" s="10">
        <v>9370.7199999999993</v>
      </c>
      <c r="G4" s="10">
        <v>5488.54</v>
      </c>
      <c r="H4" s="10">
        <v>5806.33</v>
      </c>
      <c r="I4" s="10">
        <v>12037.61</v>
      </c>
      <c r="J4" s="122">
        <v>7037.21</v>
      </c>
      <c r="K4" s="124">
        <v>5692.73</v>
      </c>
      <c r="L4" s="10">
        <v>11044.94</v>
      </c>
      <c r="M4" s="11">
        <v>5254.42</v>
      </c>
      <c r="N4" s="109">
        <f t="shared" ref="N4:N29" si="0">SUM(B4:M4)</f>
        <v>79848.600000000006</v>
      </c>
      <c r="O4" s="19">
        <f>SUM('R 2008'!B4:M4)</f>
        <v>79164.53</v>
      </c>
      <c r="P4" s="77">
        <f t="shared" ref="P4:P30" si="1">N4/O4-1</f>
        <v>8.6411174297378324E-3</v>
      </c>
      <c r="Q4" s="37" t="s">
        <v>17</v>
      </c>
    </row>
    <row r="5" spans="1:17">
      <c r="A5" s="37" t="s">
        <v>18</v>
      </c>
      <c r="B5" s="9">
        <v>24607.1</v>
      </c>
      <c r="C5" s="10">
        <v>40709.449999999997</v>
      </c>
      <c r="D5" s="10">
        <v>19648.060000000001</v>
      </c>
      <c r="E5" s="10">
        <v>22426.16</v>
      </c>
      <c r="F5" s="10">
        <v>38586.239999999998</v>
      </c>
      <c r="G5" s="10">
        <v>25115</v>
      </c>
      <c r="H5" s="10">
        <v>31020.99</v>
      </c>
      <c r="I5" s="10">
        <v>42517.33</v>
      </c>
      <c r="J5" s="122">
        <v>28205.17</v>
      </c>
      <c r="K5" s="10">
        <v>27761.13</v>
      </c>
      <c r="L5" s="10">
        <v>43322.54</v>
      </c>
      <c r="M5" s="11">
        <v>25862.9</v>
      </c>
      <c r="N5" s="107">
        <f t="shared" si="0"/>
        <v>369782.07</v>
      </c>
      <c r="O5" s="19">
        <f>SUM('R 2008'!B5:M5)</f>
        <v>399403.64999999997</v>
      </c>
      <c r="P5" s="77">
        <f t="shared" si="1"/>
        <v>-7.4164520028797809E-2</v>
      </c>
      <c r="Q5" s="37" t="s">
        <v>18</v>
      </c>
    </row>
    <row r="6" spans="1:17">
      <c r="A6" s="37" t="s">
        <v>19</v>
      </c>
      <c r="B6" s="9">
        <v>64897.52</v>
      </c>
      <c r="C6" s="10">
        <v>103296.11</v>
      </c>
      <c r="D6" s="10">
        <v>60407.22</v>
      </c>
      <c r="E6" s="10">
        <v>72249.02</v>
      </c>
      <c r="F6" s="10">
        <v>100293.05</v>
      </c>
      <c r="G6" s="10">
        <v>58548.41</v>
      </c>
      <c r="H6" s="10">
        <v>70926.94</v>
      </c>
      <c r="I6" s="10">
        <v>89499.36</v>
      </c>
      <c r="J6" s="122">
        <v>77090.960000000006</v>
      </c>
      <c r="K6" s="10">
        <v>95044.69</v>
      </c>
      <c r="L6" s="10">
        <v>76281.820000000007</v>
      </c>
      <c r="M6" s="11">
        <v>81068.86</v>
      </c>
      <c r="N6" s="107">
        <f t="shared" si="0"/>
        <v>949603.96000000008</v>
      </c>
      <c r="O6" s="19">
        <f>SUM('R 2008'!B6:M6)</f>
        <v>981053.58000000007</v>
      </c>
      <c r="P6" s="77">
        <f t="shared" si="1"/>
        <v>-3.205698510370858E-2</v>
      </c>
      <c r="Q6" s="37" t="s">
        <v>19</v>
      </c>
    </row>
    <row r="7" spans="1:17">
      <c r="A7" s="37" t="s">
        <v>20</v>
      </c>
      <c r="B7" s="9">
        <v>10825.35</v>
      </c>
      <c r="C7" s="10">
        <v>29482.42</v>
      </c>
      <c r="D7" s="10">
        <v>9111.18</v>
      </c>
      <c r="E7" s="10">
        <v>9982.1299999999992</v>
      </c>
      <c r="F7" s="10">
        <v>24238.55</v>
      </c>
      <c r="G7" s="10">
        <v>14018.51</v>
      </c>
      <c r="H7" s="10">
        <v>16672.78</v>
      </c>
      <c r="I7" s="10">
        <v>25830.54</v>
      </c>
      <c r="J7" s="122">
        <v>28134</v>
      </c>
      <c r="K7" s="10">
        <v>13824.14</v>
      </c>
      <c r="L7" s="10">
        <v>24330.67</v>
      </c>
      <c r="M7" s="11">
        <v>13889.09</v>
      </c>
      <c r="N7" s="107">
        <f t="shared" si="0"/>
        <v>220339.35999999996</v>
      </c>
      <c r="O7" s="19">
        <f>SUM('R 2008'!B7:M7)</f>
        <v>213931.62000000002</v>
      </c>
      <c r="P7" s="77">
        <f t="shared" si="1"/>
        <v>2.9952281013905013E-2</v>
      </c>
      <c r="Q7" s="37" t="s">
        <v>20</v>
      </c>
    </row>
    <row r="8" spans="1:17">
      <c r="A8" s="37" t="s">
        <v>21</v>
      </c>
      <c r="B8" s="9">
        <v>430.28</v>
      </c>
      <c r="C8" s="10">
        <v>832.8</v>
      </c>
      <c r="D8" s="10">
        <v>239.62</v>
      </c>
      <c r="E8" s="10">
        <v>348.31</v>
      </c>
      <c r="F8" s="10">
        <v>798.02</v>
      </c>
      <c r="G8" s="10">
        <v>702.67</v>
      </c>
      <c r="H8" s="10">
        <v>1250.02</v>
      </c>
      <c r="I8" s="10">
        <v>2409.86</v>
      </c>
      <c r="J8" s="122">
        <v>1995.88</v>
      </c>
      <c r="K8" s="10">
        <v>1736.63</v>
      </c>
      <c r="L8" s="10">
        <v>12009.05</v>
      </c>
      <c r="M8" s="11">
        <v>0</v>
      </c>
      <c r="N8" s="107">
        <f t="shared" si="0"/>
        <v>22753.14</v>
      </c>
      <c r="O8" s="19">
        <f>SUM('R 2008'!B8:M8)</f>
        <v>14978.51</v>
      </c>
      <c r="P8" s="77">
        <f t="shared" si="1"/>
        <v>0.51905229558881349</v>
      </c>
      <c r="Q8" s="37" t="s">
        <v>21</v>
      </c>
    </row>
    <row r="9" spans="1:17">
      <c r="A9" s="37" t="s">
        <v>22</v>
      </c>
      <c r="B9" s="9">
        <v>195030.42</v>
      </c>
      <c r="C9" s="10">
        <v>268331.25</v>
      </c>
      <c r="D9" s="10">
        <v>193027.34</v>
      </c>
      <c r="E9" s="10">
        <v>198337.24</v>
      </c>
      <c r="F9" s="10">
        <v>277089.40999999997</v>
      </c>
      <c r="G9" s="10">
        <v>235907.76</v>
      </c>
      <c r="H9" s="10">
        <v>208954.13</v>
      </c>
      <c r="I9" s="10">
        <v>284701.90999999997</v>
      </c>
      <c r="J9" s="122">
        <v>252208.48</v>
      </c>
      <c r="K9" s="10">
        <v>229686.07</v>
      </c>
      <c r="L9" s="10">
        <v>259968.6</v>
      </c>
      <c r="M9" s="11">
        <v>225422.15</v>
      </c>
      <c r="N9" s="107">
        <f t="shared" si="0"/>
        <v>2828664.76</v>
      </c>
      <c r="O9" s="19">
        <f>SUM('R 2008'!B9:M9)</f>
        <v>2841938.4300000006</v>
      </c>
      <c r="P9" s="77">
        <f t="shared" si="1"/>
        <v>-4.670639539506416E-3</v>
      </c>
      <c r="Q9" s="37" t="s">
        <v>22</v>
      </c>
    </row>
    <row r="10" spans="1:17">
      <c r="A10" s="37" t="s">
        <v>23</v>
      </c>
      <c r="B10" s="9">
        <v>4853.84</v>
      </c>
      <c r="C10" s="10">
        <v>15677.65</v>
      </c>
      <c r="D10" s="10">
        <v>8149.81</v>
      </c>
      <c r="E10" s="10">
        <v>5959.44</v>
      </c>
      <c r="F10" s="10">
        <v>14818.6</v>
      </c>
      <c r="G10" s="10">
        <v>7273.01</v>
      </c>
      <c r="H10" s="10">
        <v>7192.12</v>
      </c>
      <c r="I10" s="10">
        <v>14638.31</v>
      </c>
      <c r="J10" s="122">
        <v>7493.4</v>
      </c>
      <c r="K10" s="10">
        <v>6392.85</v>
      </c>
      <c r="L10" s="10">
        <v>17603.939999999999</v>
      </c>
      <c r="M10" s="11">
        <v>7177.7</v>
      </c>
      <c r="N10" s="107">
        <f t="shared" si="0"/>
        <v>117230.67</v>
      </c>
      <c r="O10" s="19">
        <f>SUM('R 2008'!B10:M10)</f>
        <v>120631.64</v>
      </c>
      <c r="P10" s="77">
        <f t="shared" si="1"/>
        <v>-2.8193018017495297E-2</v>
      </c>
      <c r="Q10" s="37" t="s">
        <v>23</v>
      </c>
    </row>
    <row r="11" spans="1:17">
      <c r="A11" s="37" t="s">
        <v>104</v>
      </c>
      <c r="B11" s="9"/>
      <c r="C11" s="10"/>
      <c r="D11" s="10"/>
      <c r="E11" s="10"/>
      <c r="F11" s="10"/>
      <c r="G11" s="10">
        <v>1589.9</v>
      </c>
      <c r="H11" s="10">
        <v>1847.75</v>
      </c>
      <c r="I11" s="10">
        <v>4445.55</v>
      </c>
      <c r="J11" s="122">
        <v>2164.56</v>
      </c>
      <c r="K11" s="10">
        <v>1940.48</v>
      </c>
      <c r="L11" s="10">
        <v>4696.95</v>
      </c>
      <c r="M11" s="11">
        <v>2984.53</v>
      </c>
      <c r="N11" s="107">
        <f t="shared" si="0"/>
        <v>19669.719999999998</v>
      </c>
      <c r="O11" s="19"/>
      <c r="P11" s="77"/>
      <c r="Q11" s="37" t="s">
        <v>51</v>
      </c>
    </row>
    <row r="12" spans="1:17">
      <c r="A12" s="37" t="s">
        <v>24</v>
      </c>
      <c r="B12" s="9">
        <v>5316.72</v>
      </c>
      <c r="C12" s="10">
        <v>12661.94</v>
      </c>
      <c r="D12" s="10">
        <v>1466.25</v>
      </c>
      <c r="E12" s="10">
        <v>1837.64</v>
      </c>
      <c r="F12" s="10">
        <v>6869.76</v>
      </c>
      <c r="G12" s="10">
        <v>11060</v>
      </c>
      <c r="H12" s="10">
        <v>16425.28</v>
      </c>
      <c r="I12" s="10">
        <v>27306.94</v>
      </c>
      <c r="J12" s="122">
        <v>20554.07</v>
      </c>
      <c r="K12" s="10">
        <v>20859.68</v>
      </c>
      <c r="L12" s="10">
        <v>27597.53</v>
      </c>
      <c r="M12" s="11">
        <v>16181.05</v>
      </c>
      <c r="N12" s="107">
        <f t="shared" si="0"/>
        <v>168136.86</v>
      </c>
      <c r="O12" s="19">
        <f>SUM('R 2008'!B11:M11)</f>
        <v>160683.94999999998</v>
      </c>
      <c r="P12" s="77">
        <f t="shared" si="1"/>
        <v>4.6382417161141554E-2</v>
      </c>
      <c r="Q12" s="37" t="s">
        <v>24</v>
      </c>
    </row>
    <row r="13" spans="1:17">
      <c r="A13" s="37" t="s">
        <v>25</v>
      </c>
      <c r="B13" s="9">
        <v>16213.61</v>
      </c>
      <c r="C13" s="10">
        <v>16423.97</v>
      </c>
      <c r="D13" s="10">
        <v>13071</v>
      </c>
      <c r="E13" s="10">
        <v>18214.97</v>
      </c>
      <c r="F13" s="10">
        <v>23135.5</v>
      </c>
      <c r="G13" s="10">
        <v>32031.66</v>
      </c>
      <c r="H13" s="10">
        <v>35601.24</v>
      </c>
      <c r="I13" s="10">
        <v>43909.24</v>
      </c>
      <c r="J13" s="122">
        <v>29807.82</v>
      </c>
      <c r="K13" s="10">
        <v>29995.49</v>
      </c>
      <c r="L13" s="10">
        <v>48695.29</v>
      </c>
      <c r="M13" s="11">
        <v>25238.26</v>
      </c>
      <c r="N13" s="107">
        <f t="shared" si="0"/>
        <v>332338.05</v>
      </c>
      <c r="O13" s="19">
        <f>SUM('R 2008'!B12:M12)</f>
        <v>333704.06</v>
      </c>
      <c r="P13" s="77">
        <f t="shared" si="1"/>
        <v>-4.0934773163983085E-3</v>
      </c>
      <c r="Q13" s="37" t="s">
        <v>25</v>
      </c>
    </row>
    <row r="14" spans="1:17">
      <c r="A14" s="37" t="s">
        <v>26</v>
      </c>
      <c r="B14" s="9">
        <v>31747.82</v>
      </c>
      <c r="C14" s="10">
        <v>49064.160000000003</v>
      </c>
      <c r="D14" s="10">
        <v>32478.7</v>
      </c>
      <c r="E14" s="10">
        <v>26034.82</v>
      </c>
      <c r="F14" s="10">
        <v>46573.51</v>
      </c>
      <c r="G14" s="10">
        <v>31903.57</v>
      </c>
      <c r="H14" s="10">
        <v>32262.74</v>
      </c>
      <c r="I14" s="10">
        <v>49248.9</v>
      </c>
      <c r="J14" s="122">
        <v>41522.269999999997</v>
      </c>
      <c r="K14" s="10">
        <v>34295.35</v>
      </c>
      <c r="L14" s="10">
        <v>49695</v>
      </c>
      <c r="M14" s="11">
        <v>33548.300000000003</v>
      </c>
      <c r="N14" s="107">
        <f t="shared" si="0"/>
        <v>458375.14</v>
      </c>
      <c r="O14" s="19">
        <f>SUM('R 2008'!B13:M13)</f>
        <v>473622.41300000006</v>
      </c>
      <c r="P14" s="77">
        <f t="shared" si="1"/>
        <v>-3.2192887375032342E-2</v>
      </c>
      <c r="Q14" s="37" t="s">
        <v>26</v>
      </c>
    </row>
    <row r="15" spans="1:17">
      <c r="A15" s="37" t="s">
        <v>27</v>
      </c>
      <c r="B15" s="9">
        <v>4162.43</v>
      </c>
      <c r="C15" s="10">
        <v>6437.95</v>
      </c>
      <c r="D15" s="10">
        <v>4044.84</v>
      </c>
      <c r="E15" s="10">
        <v>4005.95</v>
      </c>
      <c r="F15" s="10">
        <v>9339.49</v>
      </c>
      <c r="G15" s="10">
        <v>5204.97</v>
      </c>
      <c r="H15" s="10">
        <v>6758.76</v>
      </c>
      <c r="I15" s="10">
        <v>8158.32</v>
      </c>
      <c r="J15" s="122">
        <v>8215.5400000000009</v>
      </c>
      <c r="K15" s="10">
        <v>5718.56</v>
      </c>
      <c r="L15" s="10">
        <v>9782.9599999999991</v>
      </c>
      <c r="M15" s="11">
        <v>4819.33</v>
      </c>
      <c r="N15" s="107">
        <f t="shared" si="0"/>
        <v>76649.100000000006</v>
      </c>
      <c r="O15" s="19">
        <f>SUM('R 2008'!B14:M14)</f>
        <v>87691.03</v>
      </c>
      <c r="P15" s="77">
        <f t="shared" si="1"/>
        <v>-0.12591858026984049</v>
      </c>
      <c r="Q15" s="37" t="s">
        <v>27</v>
      </c>
    </row>
    <row r="16" spans="1:17">
      <c r="A16" s="37" t="s">
        <v>28</v>
      </c>
      <c r="B16" s="9">
        <v>2257.71</v>
      </c>
      <c r="C16" s="10">
        <v>14238.28</v>
      </c>
      <c r="D16" s="10">
        <v>2359.1</v>
      </c>
      <c r="E16" s="10">
        <v>6763.38</v>
      </c>
      <c r="F16" s="10">
        <v>9162.6</v>
      </c>
      <c r="G16" s="10">
        <v>5043.12</v>
      </c>
      <c r="H16" s="10">
        <v>10050.129999999999</v>
      </c>
      <c r="I16" s="10">
        <v>22478.36</v>
      </c>
      <c r="J16" s="122">
        <v>12091.29</v>
      </c>
      <c r="K16" s="10">
        <v>9427.58</v>
      </c>
      <c r="L16" s="10">
        <v>21389.5</v>
      </c>
      <c r="M16" s="11">
        <v>7551.61</v>
      </c>
      <c r="N16" s="107">
        <f t="shared" si="0"/>
        <v>122812.66</v>
      </c>
      <c r="O16" s="19">
        <f>SUM('R 2008'!B15:M15)</f>
        <v>118087.31000000001</v>
      </c>
      <c r="P16" s="77">
        <f t="shared" si="1"/>
        <v>4.0015730733471644E-2</v>
      </c>
      <c r="Q16" s="37" t="s">
        <v>28</v>
      </c>
    </row>
    <row r="17" spans="1:17">
      <c r="A17" s="37" t="s">
        <v>29</v>
      </c>
      <c r="B17" s="9">
        <v>1309.52</v>
      </c>
      <c r="C17" s="10">
        <v>4947.17</v>
      </c>
      <c r="D17" s="10">
        <v>2411.92</v>
      </c>
      <c r="E17" s="10">
        <v>1183.77</v>
      </c>
      <c r="F17" s="10">
        <v>4939.8</v>
      </c>
      <c r="G17" s="10">
        <v>1372.93</v>
      </c>
      <c r="H17" s="10">
        <v>2742.53</v>
      </c>
      <c r="I17" s="10">
        <v>6354.99</v>
      </c>
      <c r="J17" s="122">
        <v>2058.06</v>
      </c>
      <c r="K17" s="10">
        <v>2048.91</v>
      </c>
      <c r="L17" s="10">
        <v>7123.2</v>
      </c>
      <c r="M17" s="11">
        <v>1603.31</v>
      </c>
      <c r="N17" s="107">
        <f t="shared" si="0"/>
        <v>38096.109999999993</v>
      </c>
      <c r="O17" s="19">
        <f>SUM('R 2008'!B16:M16)</f>
        <v>39757.56</v>
      </c>
      <c r="P17" s="77">
        <f t="shared" si="1"/>
        <v>-4.178953637999927E-2</v>
      </c>
      <c r="Q17" s="37" t="s">
        <v>29</v>
      </c>
    </row>
    <row r="18" spans="1:17">
      <c r="A18" s="37" t="s">
        <v>30</v>
      </c>
      <c r="B18" s="9">
        <v>2619.71</v>
      </c>
      <c r="C18" s="10">
        <v>1559.99</v>
      </c>
      <c r="D18" s="10">
        <v>1151.3399999999999</v>
      </c>
      <c r="E18" s="144">
        <v>0</v>
      </c>
      <c r="F18" s="10">
        <v>1291.05</v>
      </c>
      <c r="G18" s="10">
        <v>2902.21</v>
      </c>
      <c r="H18" s="10">
        <v>75.16</v>
      </c>
      <c r="I18" s="10">
        <v>3659.69</v>
      </c>
      <c r="J18" s="122">
        <v>1942.22</v>
      </c>
      <c r="K18" s="10">
        <v>3948.2</v>
      </c>
      <c r="L18" s="10">
        <v>7844.86</v>
      </c>
      <c r="M18" s="11">
        <v>140.37</v>
      </c>
      <c r="N18" s="107">
        <f t="shared" si="0"/>
        <v>27134.799999999999</v>
      </c>
      <c r="O18" s="19">
        <f>SUM('R 2008'!B17:M17)</f>
        <v>27669.88</v>
      </c>
      <c r="P18" s="77">
        <f t="shared" si="1"/>
        <v>-1.9337994960585414E-2</v>
      </c>
      <c r="Q18" s="37" t="s">
        <v>30</v>
      </c>
    </row>
    <row r="19" spans="1:17">
      <c r="A19" s="37" t="s">
        <v>31</v>
      </c>
      <c r="B19" s="9">
        <v>1015084.26</v>
      </c>
      <c r="C19" s="10">
        <v>1551174.88</v>
      </c>
      <c r="D19" s="10">
        <v>1183570.1499999999</v>
      </c>
      <c r="E19" s="10">
        <v>1143495.3</v>
      </c>
      <c r="F19" s="10">
        <v>1490411.73</v>
      </c>
      <c r="G19" s="10">
        <v>1148204.1100000001</v>
      </c>
      <c r="H19" s="10">
        <v>1159961.01</v>
      </c>
      <c r="I19" s="10">
        <v>1406138.42</v>
      </c>
      <c r="J19" s="122">
        <v>1227913.56</v>
      </c>
      <c r="K19" s="10">
        <v>1202548.28</v>
      </c>
      <c r="L19" s="10">
        <v>1410346.97</v>
      </c>
      <c r="M19" s="11">
        <v>1128104.05</v>
      </c>
      <c r="N19" s="107">
        <f t="shared" si="0"/>
        <v>15066952.720000003</v>
      </c>
      <c r="O19" s="19">
        <f>SUM('R 2008'!B18:M18)</f>
        <v>15954304.43</v>
      </c>
      <c r="P19" s="77">
        <f t="shared" si="1"/>
        <v>-5.5618326320227895E-2</v>
      </c>
      <c r="Q19" s="37" t="s">
        <v>31</v>
      </c>
    </row>
    <row r="20" spans="1:17">
      <c r="A20" s="37" t="s">
        <v>32</v>
      </c>
      <c r="B20" s="9">
        <v>4504.5200000000004</v>
      </c>
      <c r="C20" s="10">
        <v>14154.36</v>
      </c>
      <c r="D20" s="10">
        <v>3967.4</v>
      </c>
      <c r="E20" s="10">
        <v>2927.87</v>
      </c>
      <c r="F20" s="10">
        <v>12594.95</v>
      </c>
      <c r="G20" s="10">
        <v>3415.58</v>
      </c>
      <c r="H20" s="10">
        <v>4357.8</v>
      </c>
      <c r="I20" s="10">
        <v>12908.12</v>
      </c>
      <c r="J20" s="122">
        <v>7321.56</v>
      </c>
      <c r="K20" s="10">
        <v>4736.58</v>
      </c>
      <c r="L20" s="10">
        <v>13096.4</v>
      </c>
      <c r="M20" s="11">
        <v>395.12</v>
      </c>
      <c r="N20" s="107">
        <f t="shared" si="0"/>
        <v>84380.260000000009</v>
      </c>
      <c r="O20" s="19">
        <f>SUM('R 2008'!B19:M19)</f>
        <v>90632.169999999984</v>
      </c>
      <c r="P20" s="77">
        <f t="shared" si="1"/>
        <v>-6.8981135506299585E-2</v>
      </c>
      <c r="Q20" s="37" t="s">
        <v>32</v>
      </c>
    </row>
    <row r="21" spans="1:17">
      <c r="A21" s="37" t="s">
        <v>33</v>
      </c>
      <c r="B21" s="9">
        <v>14230.12</v>
      </c>
      <c r="C21" s="10">
        <v>20967.68</v>
      </c>
      <c r="D21" s="10">
        <v>16246.46</v>
      </c>
      <c r="E21" s="10">
        <v>6656.41</v>
      </c>
      <c r="F21" s="10">
        <v>23292.29</v>
      </c>
      <c r="G21" s="10">
        <v>12659.71</v>
      </c>
      <c r="H21" s="10">
        <v>16316.67</v>
      </c>
      <c r="I21" s="10">
        <v>24187.43</v>
      </c>
      <c r="J21" s="122">
        <v>16689.259999999998</v>
      </c>
      <c r="K21" s="10">
        <v>12579.29</v>
      </c>
      <c r="L21" s="10">
        <v>24908.01</v>
      </c>
      <c r="M21" s="11">
        <v>11049.2</v>
      </c>
      <c r="N21" s="107">
        <f t="shared" si="0"/>
        <v>199782.53000000003</v>
      </c>
      <c r="O21" s="19">
        <f>SUM('R 2008'!B20:M20)</f>
        <v>198239.32000000004</v>
      </c>
      <c r="P21" s="77">
        <f t="shared" si="1"/>
        <v>7.784580778424699E-3</v>
      </c>
      <c r="Q21" s="37" t="s">
        <v>33</v>
      </c>
    </row>
    <row r="22" spans="1:17">
      <c r="A22" s="37" t="s">
        <v>34</v>
      </c>
      <c r="B22" s="9">
        <v>64959.01</v>
      </c>
      <c r="C22" s="10">
        <v>200102.21</v>
      </c>
      <c r="D22" s="10">
        <v>183661.19</v>
      </c>
      <c r="E22" s="10">
        <v>181884.68</v>
      </c>
      <c r="F22" s="10">
        <v>216915.08</v>
      </c>
      <c r="G22" s="10">
        <v>78654.94</v>
      </c>
      <c r="H22" s="10">
        <v>54014.03</v>
      </c>
      <c r="I22" s="10">
        <v>109556.66</v>
      </c>
      <c r="J22" s="122">
        <v>159240.32000000001</v>
      </c>
      <c r="K22" s="10">
        <v>109283.69</v>
      </c>
      <c r="L22" s="10">
        <v>110696</v>
      </c>
      <c r="M22" s="11">
        <v>71811.91</v>
      </c>
      <c r="N22" s="107">
        <f t="shared" si="0"/>
        <v>1540779.7199999997</v>
      </c>
      <c r="O22" s="19">
        <f>SUM('R 2008'!B21:M21)</f>
        <v>1686765.5000000002</v>
      </c>
      <c r="P22" s="77">
        <f t="shared" si="1"/>
        <v>-8.6547762566877573E-2</v>
      </c>
      <c r="Q22" s="37" t="s">
        <v>34</v>
      </c>
    </row>
    <row r="23" spans="1:17">
      <c r="A23" s="37" t="s">
        <v>35</v>
      </c>
      <c r="B23" s="9">
        <v>20659.57</v>
      </c>
      <c r="C23" s="10">
        <v>41180.199999999997</v>
      </c>
      <c r="D23" s="10">
        <v>22888.79</v>
      </c>
      <c r="E23" s="10">
        <v>23485.48</v>
      </c>
      <c r="F23" s="10">
        <v>42507.89</v>
      </c>
      <c r="G23" s="10">
        <v>29035.73</v>
      </c>
      <c r="H23" s="10">
        <v>32494.99</v>
      </c>
      <c r="I23" s="10">
        <v>43025.32</v>
      </c>
      <c r="J23" s="122">
        <v>30814.83</v>
      </c>
      <c r="K23" s="10">
        <v>29326.62</v>
      </c>
      <c r="L23" s="10">
        <v>38327.18</v>
      </c>
      <c r="M23" s="11">
        <v>28017.3</v>
      </c>
      <c r="N23" s="107">
        <f t="shared" si="0"/>
        <v>381763.89999999997</v>
      </c>
      <c r="O23" s="19">
        <f>SUM('R 2008'!B22:M22)</f>
        <v>390268.57000000007</v>
      </c>
      <c r="P23" s="77">
        <f t="shared" si="1"/>
        <v>-2.1791839399211921E-2</v>
      </c>
      <c r="Q23" s="37" t="s">
        <v>35</v>
      </c>
    </row>
    <row r="24" spans="1:17">
      <c r="A24" s="37" t="s">
        <v>36</v>
      </c>
      <c r="B24" s="9">
        <v>21349.69</v>
      </c>
      <c r="C24" s="10">
        <v>43823.95</v>
      </c>
      <c r="D24" s="10">
        <v>24606.5</v>
      </c>
      <c r="E24" s="10">
        <v>21262.87</v>
      </c>
      <c r="F24" s="10">
        <v>39030.26</v>
      </c>
      <c r="G24" s="10">
        <v>21449.07</v>
      </c>
      <c r="H24" s="10">
        <v>24052.29</v>
      </c>
      <c r="I24" s="10">
        <v>37824.239999999998</v>
      </c>
      <c r="J24" s="122">
        <v>24653.5</v>
      </c>
      <c r="K24" s="10">
        <v>17594.18</v>
      </c>
      <c r="L24" s="10">
        <v>32988.19</v>
      </c>
      <c r="M24" s="11">
        <v>19168.990000000002</v>
      </c>
      <c r="N24" s="107">
        <f t="shared" si="0"/>
        <v>327803.73</v>
      </c>
      <c r="O24" s="19">
        <f>SUM('R 2008'!B23:M23)</f>
        <v>350522.34999999992</v>
      </c>
      <c r="P24" s="77">
        <f t="shared" si="1"/>
        <v>-6.481361316903167E-2</v>
      </c>
      <c r="Q24" s="37" t="s">
        <v>36</v>
      </c>
    </row>
    <row r="25" spans="1:17">
      <c r="A25" s="37" t="s">
        <v>37</v>
      </c>
      <c r="B25" s="9">
        <v>309846.18</v>
      </c>
      <c r="C25" s="10">
        <v>429483.62</v>
      </c>
      <c r="D25" s="10">
        <v>300019.48</v>
      </c>
      <c r="E25" s="10">
        <v>318647.05</v>
      </c>
      <c r="F25" s="10">
        <v>445503.43</v>
      </c>
      <c r="G25" s="10">
        <v>323907.89</v>
      </c>
      <c r="H25" s="10">
        <v>363860.98</v>
      </c>
      <c r="I25" s="10">
        <v>414926.53</v>
      </c>
      <c r="J25" s="122">
        <v>357377.67</v>
      </c>
      <c r="K25" s="10">
        <v>367899.87</v>
      </c>
      <c r="L25" s="10">
        <v>435095.05</v>
      </c>
      <c r="M25" s="11">
        <v>336150.4</v>
      </c>
      <c r="N25" s="107">
        <f t="shared" si="0"/>
        <v>4402718.1500000004</v>
      </c>
      <c r="O25" s="19">
        <f>SUM('R 2008'!B24:M24)</f>
        <v>4396449.97</v>
      </c>
      <c r="P25" s="77">
        <f t="shared" si="1"/>
        <v>1.425736683636325E-3</v>
      </c>
      <c r="Q25" s="37" t="s">
        <v>37</v>
      </c>
    </row>
    <row r="26" spans="1:17">
      <c r="A26" s="37" t="s">
        <v>38</v>
      </c>
      <c r="B26" s="9">
        <v>18964.439999999999</v>
      </c>
      <c r="C26" s="10">
        <v>28961.27</v>
      </c>
      <c r="D26" s="10">
        <v>14913.43</v>
      </c>
      <c r="E26" s="10">
        <v>21042.93</v>
      </c>
      <c r="F26" s="10">
        <v>26174.01</v>
      </c>
      <c r="G26" s="10">
        <v>10229.27</v>
      </c>
      <c r="H26" s="10">
        <v>16837.919999999998</v>
      </c>
      <c r="I26" s="10">
        <v>25582.91</v>
      </c>
      <c r="J26" s="122">
        <v>25408.400000000001</v>
      </c>
      <c r="K26" s="10">
        <v>31678.32</v>
      </c>
      <c r="L26" s="10">
        <v>35185.15</v>
      </c>
      <c r="M26" s="11">
        <v>18743.580000000002</v>
      </c>
      <c r="N26" s="107">
        <f t="shared" si="0"/>
        <v>273721.63</v>
      </c>
      <c r="O26" s="19">
        <f>SUM('R 2008'!B25:M25)</f>
        <v>316003.12</v>
      </c>
      <c r="P26" s="77">
        <f t="shared" si="1"/>
        <v>-0.13380086247249712</v>
      </c>
      <c r="Q26" s="37" t="s">
        <v>38</v>
      </c>
    </row>
    <row r="27" spans="1:17">
      <c r="A27" s="37" t="s">
        <v>39</v>
      </c>
      <c r="B27" s="9">
        <v>96000.4</v>
      </c>
      <c r="C27" s="10">
        <v>156457.37</v>
      </c>
      <c r="D27" s="10">
        <v>110955.77</v>
      </c>
      <c r="E27" s="10">
        <v>11049.89</v>
      </c>
      <c r="F27" s="10">
        <v>179791.29</v>
      </c>
      <c r="G27" s="10">
        <v>147127.82999999999</v>
      </c>
      <c r="H27" s="10">
        <v>146354.88</v>
      </c>
      <c r="I27" s="10">
        <v>172441.93</v>
      </c>
      <c r="J27" s="122">
        <v>133576.04</v>
      </c>
      <c r="K27" s="10">
        <v>121127.61</v>
      </c>
      <c r="L27" s="10">
        <v>167917.52</v>
      </c>
      <c r="M27" s="11">
        <v>136407.64000000001</v>
      </c>
      <c r="N27" s="107">
        <f t="shared" si="0"/>
        <v>1579208.17</v>
      </c>
      <c r="O27" s="19">
        <f>SUM('R 2008'!B26:M26)</f>
        <v>1766270.3900000001</v>
      </c>
      <c r="P27" s="77">
        <f t="shared" si="1"/>
        <v>-0.10590803144245664</v>
      </c>
      <c r="Q27" s="37" t="s">
        <v>97</v>
      </c>
    </row>
    <row r="28" spans="1:17">
      <c r="A28" s="37" t="s">
        <v>40</v>
      </c>
      <c r="B28" s="9">
        <v>0</v>
      </c>
      <c r="C28" s="10">
        <v>4444.5200000000004</v>
      </c>
      <c r="D28" s="10">
        <v>101.61</v>
      </c>
      <c r="E28" s="10">
        <v>287.01</v>
      </c>
      <c r="F28" s="10">
        <v>2882.18</v>
      </c>
      <c r="G28" s="10">
        <v>600.20000000000005</v>
      </c>
      <c r="H28" s="10">
        <v>2262.2600000000002</v>
      </c>
      <c r="I28" s="10">
        <v>12040.28</v>
      </c>
      <c r="J28" s="122">
        <v>1747.64</v>
      </c>
      <c r="K28" s="10">
        <v>3308.84</v>
      </c>
      <c r="L28" s="10">
        <v>25006.07</v>
      </c>
      <c r="M28" s="11">
        <v>0</v>
      </c>
      <c r="N28" s="107">
        <f t="shared" si="0"/>
        <v>52680.61</v>
      </c>
      <c r="O28" s="19">
        <f>SUM('R 2008'!B27:M27)</f>
        <v>48118.28</v>
      </c>
      <c r="P28" s="77">
        <f t="shared" si="1"/>
        <v>9.4814901945788677E-2</v>
      </c>
      <c r="Q28" s="37" t="s">
        <v>40</v>
      </c>
    </row>
    <row r="29" spans="1:17" ht="13" thickBot="1">
      <c r="A29" s="38" t="s">
        <v>41</v>
      </c>
      <c r="B29" s="12">
        <v>145871.1</v>
      </c>
      <c r="C29" s="13">
        <v>249207.06</v>
      </c>
      <c r="D29" s="13">
        <v>166723.99</v>
      </c>
      <c r="E29" s="13">
        <v>154292.63</v>
      </c>
      <c r="F29" s="13">
        <v>217951.78</v>
      </c>
      <c r="G29" s="13">
        <v>209596.75</v>
      </c>
      <c r="H29" s="13">
        <v>184255.97</v>
      </c>
      <c r="I29" s="13">
        <v>243006.26</v>
      </c>
      <c r="J29" s="123">
        <v>184306.66</v>
      </c>
      <c r="K29" s="13">
        <v>170708.45</v>
      </c>
      <c r="L29" s="13">
        <v>219603.02</v>
      </c>
      <c r="M29" s="14">
        <v>173974.36</v>
      </c>
      <c r="N29" s="110">
        <f t="shared" si="0"/>
        <v>2319498.0299999998</v>
      </c>
      <c r="O29" s="19">
        <f>SUM('R 2008'!B28:M28)</f>
        <v>2398533.85</v>
      </c>
      <c r="P29" s="78">
        <f t="shared" si="1"/>
        <v>-3.2951721736176554E-2</v>
      </c>
      <c r="Q29" s="38" t="s">
        <v>41</v>
      </c>
    </row>
    <row r="30" spans="1:17" ht="14" thickTop="1" thickBot="1">
      <c r="A30" s="137" t="s">
        <v>0</v>
      </c>
      <c r="B30" s="138">
        <f t="shared" ref="B30:O30" si="2">SUM(B4:B29)</f>
        <v>2077458.4000000001</v>
      </c>
      <c r="C30" s="139">
        <f t="shared" si="2"/>
        <v>3313510.8300000005</v>
      </c>
      <c r="D30" s="139">
        <f t="shared" si="2"/>
        <v>2378850.79</v>
      </c>
      <c r="E30" s="139">
        <f t="shared" si="2"/>
        <v>2255253.7599999998</v>
      </c>
      <c r="F30" s="139">
        <f t="shared" si="2"/>
        <v>3263561.19</v>
      </c>
      <c r="G30" s="139">
        <f t="shared" si="2"/>
        <v>2423043.3400000003</v>
      </c>
      <c r="H30" s="139">
        <f t="shared" si="2"/>
        <v>2452355.6999999997</v>
      </c>
      <c r="I30" s="139">
        <f t="shared" si="2"/>
        <v>3138835.01</v>
      </c>
      <c r="J30" s="139">
        <f t="shared" si="2"/>
        <v>2689570.3700000006</v>
      </c>
      <c r="K30" s="139">
        <f t="shared" si="2"/>
        <v>2559164.2199999997</v>
      </c>
      <c r="L30" s="139">
        <f t="shared" si="2"/>
        <v>3134556.4099999992</v>
      </c>
      <c r="M30" s="140">
        <f t="shared" si="2"/>
        <v>2374564.4300000002</v>
      </c>
      <c r="N30" s="24">
        <f t="shared" si="2"/>
        <v>32060724.450000003</v>
      </c>
      <c r="O30" s="127">
        <f t="shared" si="2"/>
        <v>33488426.113000005</v>
      </c>
      <c r="P30" s="113">
        <f t="shared" si="1"/>
        <v>-4.2632689221718256E-2</v>
      </c>
      <c r="Q30" s="142"/>
    </row>
    <row r="31" spans="1:17">
      <c r="B31" s="28">
        <f>B30/'R 2008'!B29-1</f>
        <v>-5.4613124130235224E-2</v>
      </c>
      <c r="C31" s="28">
        <f>C30/'R 2008'!C29-1</f>
        <v>-2.5893285789672427E-2</v>
      </c>
      <c r="D31" s="28">
        <f>D30/'R 2008'!D29-1</f>
        <v>2.0900792391573608E-2</v>
      </c>
      <c r="E31" s="28">
        <f>E30/'R 2008'!E29-1</f>
        <v>6.9772563482909167E-2</v>
      </c>
      <c r="F31" s="28">
        <f>F30/'R 2008'!F29-1</f>
        <v>-6.9837441642906173E-2</v>
      </c>
      <c r="G31" s="28">
        <f>G30/'R 2008'!G29-1</f>
        <v>-1.336456653880036E-2</v>
      </c>
      <c r="H31" s="28">
        <f>H30/'R 2008'!H29-1</f>
        <v>-0.22549054441222738</v>
      </c>
      <c r="I31" s="28">
        <f>I30/'R 2008'!I29-1</f>
        <v>-0.10656638996720458</v>
      </c>
      <c r="J31" s="28">
        <f>J30/'R 2008'!J29-1</f>
        <v>4.8718596105937539E-2</v>
      </c>
      <c r="K31" s="28">
        <f>K30/'R 2008'!K29-1</f>
        <v>-6.9357111993635367E-3</v>
      </c>
      <c r="L31" s="28">
        <f>L30/'R 2008'!L29-1</f>
        <v>-8.0495792557060297E-2</v>
      </c>
      <c r="M31" s="28">
        <f>M30/'R 2008'!M29-1</f>
        <v>5.236293097668554E-2</v>
      </c>
      <c r="N31" s="28"/>
    </row>
    <row r="33" spans="1:3">
      <c r="C33" s="100"/>
    </row>
    <row r="36" spans="1:3">
      <c r="A36" s="145" t="s">
        <v>105</v>
      </c>
    </row>
  </sheetData>
  <mergeCells count="1">
    <mergeCell ref="A1:P1"/>
  </mergeCells>
  <phoneticPr fontId="0" type="noConversion"/>
  <printOptions horizontalCentered="1"/>
  <pageMargins left="0" right="0" top="1" bottom="1" header="0.5" footer="0.5"/>
  <pageSetup scale="86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 enableFormatConditionsCalculation="0">
    <tabColor rgb="FFFFFF00"/>
  </sheetPr>
  <dimension ref="A1:Q32"/>
  <sheetViews>
    <sheetView workbookViewId="0">
      <selection activeCell="H31" sqref="H31"/>
    </sheetView>
  </sheetViews>
  <sheetFormatPr baseColWidth="10" defaultColWidth="8.83203125" defaultRowHeight="12" x14ac:dyDescent="0"/>
  <cols>
    <col min="2" max="2" width="9.5" bestFit="1" customWidth="1"/>
    <col min="14" max="15" width="9.5" bestFit="1" customWidth="1"/>
  </cols>
  <sheetData>
    <row r="1" spans="1:17" ht="21">
      <c r="A1" s="691" t="s">
        <v>94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17" ht="13" thickBo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s="154" customFormat="1" ht="13" thickBot="1">
      <c r="A3" s="40" t="s">
        <v>42</v>
      </c>
      <c r="B3" s="171" t="s">
        <v>2</v>
      </c>
      <c r="C3" s="156" t="s">
        <v>3</v>
      </c>
      <c r="D3" s="156" t="s">
        <v>4</v>
      </c>
      <c r="E3" s="156" t="s">
        <v>5</v>
      </c>
      <c r="F3" s="156" t="s">
        <v>6</v>
      </c>
      <c r="G3" s="156" t="s">
        <v>7</v>
      </c>
      <c r="H3" s="156" t="s">
        <v>8</v>
      </c>
      <c r="I3" s="156" t="s">
        <v>9</v>
      </c>
      <c r="J3" s="156" t="s">
        <v>10</v>
      </c>
      <c r="K3" s="156" t="s">
        <v>11</v>
      </c>
      <c r="L3" s="156" t="s">
        <v>12</v>
      </c>
      <c r="M3" s="158" t="s">
        <v>13</v>
      </c>
      <c r="N3" s="172" t="s">
        <v>95</v>
      </c>
      <c r="O3" s="156" t="s">
        <v>87</v>
      </c>
      <c r="P3" s="161" t="s">
        <v>16</v>
      </c>
      <c r="Q3" s="173" t="s">
        <v>42</v>
      </c>
    </row>
    <row r="4" spans="1:17">
      <c r="A4" s="37" t="s">
        <v>17</v>
      </c>
      <c r="B4" s="9">
        <v>2900.57</v>
      </c>
      <c r="C4" s="10">
        <v>8929.6</v>
      </c>
      <c r="D4" s="10">
        <v>3704.67</v>
      </c>
      <c r="E4" s="10">
        <v>3535.31</v>
      </c>
      <c r="F4" s="10">
        <v>9443.23</v>
      </c>
      <c r="G4" s="10">
        <v>4240.6000000000004</v>
      </c>
      <c r="H4" s="10">
        <v>5234.6400000000003</v>
      </c>
      <c r="I4" s="10">
        <v>11156.18</v>
      </c>
      <c r="J4" s="10">
        <v>16220.42</v>
      </c>
      <c r="K4" s="9">
        <v>0</v>
      </c>
      <c r="L4" s="10">
        <v>13799.31</v>
      </c>
      <c r="M4" s="11">
        <v>0</v>
      </c>
      <c r="N4" s="109">
        <f>SUM(B4:M4)</f>
        <v>79164.53</v>
      </c>
      <c r="O4" s="19">
        <f>SUM('R 2007'!B4:M4)</f>
        <v>81000.890000000014</v>
      </c>
      <c r="P4" s="77">
        <f>N4/O4-1</f>
        <v>-2.2670862011516357E-2</v>
      </c>
      <c r="Q4" s="37" t="s">
        <v>17</v>
      </c>
    </row>
    <row r="5" spans="1:17">
      <c r="A5" s="37" t="s">
        <v>18</v>
      </c>
      <c r="B5" s="9">
        <v>25462.42</v>
      </c>
      <c r="C5" s="10">
        <v>41957.7</v>
      </c>
      <c r="D5" s="10">
        <v>22102.400000000001</v>
      </c>
      <c r="E5" s="10">
        <v>18485.810000000001</v>
      </c>
      <c r="F5" s="10">
        <v>42126.73</v>
      </c>
      <c r="G5" s="10">
        <v>25020.42</v>
      </c>
      <c r="H5" s="10">
        <v>40479.870000000003</v>
      </c>
      <c r="I5" s="10">
        <v>50857.94</v>
      </c>
      <c r="J5" s="10">
        <v>32861.599999999999</v>
      </c>
      <c r="K5" s="9">
        <v>27633.73</v>
      </c>
      <c r="L5" s="10">
        <v>45502.59</v>
      </c>
      <c r="M5" s="11">
        <v>26912.44</v>
      </c>
      <c r="N5" s="107">
        <f t="shared" ref="N5:N28" si="0">SUM(B5:M5)</f>
        <v>399403.64999999997</v>
      </c>
      <c r="O5" s="19">
        <f>SUM('R 2007'!B5:M5)</f>
        <v>386533.82999999996</v>
      </c>
      <c r="P5" s="77">
        <f t="shared" ref="P5:P27" si="1">N5/O5-1</f>
        <v>3.3295455665549367E-2</v>
      </c>
      <c r="Q5" s="37" t="s">
        <v>18</v>
      </c>
    </row>
    <row r="6" spans="1:17">
      <c r="A6" s="37" t="s">
        <v>19</v>
      </c>
      <c r="B6" s="9">
        <v>79426.37</v>
      </c>
      <c r="C6" s="10">
        <v>97895.85</v>
      </c>
      <c r="D6" s="10">
        <v>69755.64</v>
      </c>
      <c r="E6" s="10">
        <v>61711.54</v>
      </c>
      <c r="F6" s="10">
        <v>86612.52</v>
      </c>
      <c r="G6" s="10">
        <v>70711.91</v>
      </c>
      <c r="H6" s="10">
        <v>84983.11</v>
      </c>
      <c r="I6" s="10">
        <v>98660.24</v>
      </c>
      <c r="J6" s="10">
        <v>73650.009999999995</v>
      </c>
      <c r="K6" s="9">
        <v>88025.32</v>
      </c>
      <c r="L6" s="10">
        <v>105221.91</v>
      </c>
      <c r="M6" s="11">
        <v>64399.16</v>
      </c>
      <c r="N6" s="107">
        <f t="shared" si="0"/>
        <v>981053.58000000007</v>
      </c>
      <c r="O6" s="19">
        <f>SUM('R 2007'!B6:M6)</f>
        <v>915070.09999999986</v>
      </c>
      <c r="P6" s="77">
        <f t="shared" si="1"/>
        <v>7.210756858955425E-2</v>
      </c>
      <c r="Q6" s="37" t="s">
        <v>19</v>
      </c>
    </row>
    <row r="7" spans="1:17">
      <c r="A7" s="37" t="s">
        <v>20</v>
      </c>
      <c r="B7" s="9">
        <v>12564.16</v>
      </c>
      <c r="C7" s="10">
        <v>20449.400000000001</v>
      </c>
      <c r="D7" s="10">
        <v>12975.83</v>
      </c>
      <c r="E7" s="10">
        <v>13415.81</v>
      </c>
      <c r="F7" s="10">
        <v>25412.48</v>
      </c>
      <c r="G7" s="10">
        <v>13777.74</v>
      </c>
      <c r="H7" s="10">
        <v>19484.84</v>
      </c>
      <c r="I7" s="10">
        <v>28889.02</v>
      </c>
      <c r="J7" s="10">
        <v>13807.51</v>
      </c>
      <c r="K7" s="9">
        <v>13380.71</v>
      </c>
      <c r="L7" s="10">
        <v>25118.95</v>
      </c>
      <c r="M7" s="11">
        <v>14655.17</v>
      </c>
      <c r="N7" s="107">
        <f t="shared" si="0"/>
        <v>213931.62000000002</v>
      </c>
      <c r="O7" s="19">
        <f>SUM('R 2007'!B7:M7)</f>
        <v>202595.64</v>
      </c>
      <c r="P7" s="77">
        <f t="shared" si="1"/>
        <v>5.5953721412761004E-2</v>
      </c>
      <c r="Q7" s="37" t="s">
        <v>20</v>
      </c>
    </row>
    <row r="8" spans="1:17">
      <c r="A8" s="37" t="s">
        <v>21</v>
      </c>
      <c r="B8" s="9">
        <v>369.92</v>
      </c>
      <c r="C8" s="10">
        <v>800.93</v>
      </c>
      <c r="D8" s="10">
        <v>215.9</v>
      </c>
      <c r="E8" s="10">
        <v>233.47</v>
      </c>
      <c r="F8" s="10">
        <v>713.04</v>
      </c>
      <c r="G8" s="10">
        <v>839.7</v>
      </c>
      <c r="H8" s="10">
        <v>1292.68</v>
      </c>
      <c r="I8" s="10">
        <v>2856.11</v>
      </c>
      <c r="J8" s="10">
        <v>2016.05</v>
      </c>
      <c r="K8" s="9">
        <v>2018.38</v>
      </c>
      <c r="L8" s="10">
        <v>2739.22</v>
      </c>
      <c r="M8" s="11">
        <v>883.11</v>
      </c>
      <c r="N8" s="107">
        <f t="shared" si="0"/>
        <v>14978.51</v>
      </c>
      <c r="O8" s="19">
        <f>SUM('R 2007'!B8:M8)</f>
        <v>14923.2</v>
      </c>
      <c r="P8" s="77">
        <f t="shared" si="1"/>
        <v>3.7063096386833472E-3</v>
      </c>
      <c r="Q8" s="37" t="s">
        <v>21</v>
      </c>
    </row>
    <row r="9" spans="1:17">
      <c r="A9" s="37" t="s">
        <v>22</v>
      </c>
      <c r="B9" s="9">
        <v>187163.4</v>
      </c>
      <c r="C9" s="10">
        <v>272709.09000000003</v>
      </c>
      <c r="D9" s="10">
        <v>182553.03</v>
      </c>
      <c r="E9" s="10">
        <v>170454.53</v>
      </c>
      <c r="F9" s="10">
        <v>276636.71000000002</v>
      </c>
      <c r="G9" s="10">
        <v>215026.97</v>
      </c>
      <c r="H9" s="10">
        <v>265826.56</v>
      </c>
      <c r="I9" s="10">
        <v>322068.08</v>
      </c>
      <c r="J9" s="10">
        <v>244750.49</v>
      </c>
      <c r="K9" s="9">
        <v>234880.24</v>
      </c>
      <c r="L9" s="10">
        <v>258529.52</v>
      </c>
      <c r="M9" s="11">
        <v>211339.81</v>
      </c>
      <c r="N9" s="107">
        <f t="shared" si="0"/>
        <v>2841938.4300000006</v>
      </c>
      <c r="O9" s="19">
        <f>SUM('R 2007'!B9:M9)</f>
        <v>2712395.19</v>
      </c>
      <c r="P9" s="77">
        <f t="shared" si="1"/>
        <v>4.7759721915743736E-2</v>
      </c>
      <c r="Q9" s="37" t="s">
        <v>22</v>
      </c>
    </row>
    <row r="10" spans="1:17">
      <c r="A10" s="37" t="s">
        <v>23</v>
      </c>
      <c r="B10" s="9">
        <v>5773.61</v>
      </c>
      <c r="C10" s="10">
        <v>10736.86</v>
      </c>
      <c r="D10" s="10">
        <v>5990.59</v>
      </c>
      <c r="E10" s="10">
        <v>6342.54</v>
      </c>
      <c r="F10" s="10">
        <v>17051.87</v>
      </c>
      <c r="G10" s="10">
        <v>5592.26</v>
      </c>
      <c r="H10" s="10">
        <v>7905.47</v>
      </c>
      <c r="I10" s="10">
        <v>23264.959999999999</v>
      </c>
      <c r="J10" s="10">
        <v>4239.51</v>
      </c>
      <c r="K10" s="9">
        <v>6741.14</v>
      </c>
      <c r="L10" s="10">
        <v>16781.8</v>
      </c>
      <c r="M10" s="11">
        <v>10211.030000000001</v>
      </c>
      <c r="N10" s="107">
        <f t="shared" si="0"/>
        <v>120631.64</v>
      </c>
      <c r="O10" s="19">
        <f>SUM('R 2007'!B10:M10)</f>
        <v>104740.59000000001</v>
      </c>
      <c r="P10" s="77">
        <f t="shared" si="1"/>
        <v>0.15171816389424575</v>
      </c>
      <c r="Q10" s="37" t="s">
        <v>23</v>
      </c>
    </row>
    <row r="11" spans="1:17">
      <c r="A11" s="37" t="s">
        <v>24</v>
      </c>
      <c r="B11" s="9">
        <v>4384.6400000000003</v>
      </c>
      <c r="C11" s="10">
        <v>5641.87</v>
      </c>
      <c r="D11" s="10">
        <v>1104.94</v>
      </c>
      <c r="E11" s="10">
        <v>1343.32</v>
      </c>
      <c r="F11" s="10">
        <v>9946.69</v>
      </c>
      <c r="G11" s="10">
        <v>8734.17</v>
      </c>
      <c r="H11" s="10">
        <v>18079.95</v>
      </c>
      <c r="I11" s="10">
        <v>25553.759999999998</v>
      </c>
      <c r="J11" s="10">
        <v>19819.8</v>
      </c>
      <c r="K11" s="9">
        <v>22081.84</v>
      </c>
      <c r="L11" s="10">
        <v>27462.880000000001</v>
      </c>
      <c r="M11" s="11">
        <v>16530.09</v>
      </c>
      <c r="N11" s="107">
        <f t="shared" si="0"/>
        <v>160683.94999999998</v>
      </c>
      <c r="O11" s="19">
        <f>SUM('R 2007'!B11:M11)</f>
        <v>170657.32</v>
      </c>
      <c r="P11" s="77">
        <f t="shared" si="1"/>
        <v>-5.8440915397007465E-2</v>
      </c>
      <c r="Q11" s="37" t="s">
        <v>24</v>
      </c>
    </row>
    <row r="12" spans="1:17">
      <c r="A12" s="37" t="s">
        <v>25</v>
      </c>
      <c r="B12" s="9">
        <v>16511.009999999998</v>
      </c>
      <c r="C12" s="10">
        <v>21054.78</v>
      </c>
      <c r="D12" s="10">
        <v>9419.7099999999991</v>
      </c>
      <c r="E12" s="10">
        <v>8617.9500000000007</v>
      </c>
      <c r="F12" s="10">
        <v>38147.440000000002</v>
      </c>
      <c r="G12" s="10">
        <v>20420.39</v>
      </c>
      <c r="H12" s="10">
        <v>34094.14</v>
      </c>
      <c r="I12" s="10">
        <v>54481.54</v>
      </c>
      <c r="J12" s="10">
        <v>37481.040000000001</v>
      </c>
      <c r="K12" s="9">
        <v>18279.21</v>
      </c>
      <c r="L12" s="10">
        <v>47258.03</v>
      </c>
      <c r="M12" s="11">
        <v>27938.82</v>
      </c>
      <c r="N12" s="107">
        <f t="shared" si="0"/>
        <v>333704.06</v>
      </c>
      <c r="O12" s="19">
        <f>SUM('R 2007'!B12:M12)</f>
        <v>299731.28999999998</v>
      </c>
      <c r="P12" s="77">
        <f t="shared" si="1"/>
        <v>0.11334408896715464</v>
      </c>
      <c r="Q12" s="37" t="s">
        <v>25</v>
      </c>
    </row>
    <row r="13" spans="1:17">
      <c r="A13" s="37" t="s">
        <v>26</v>
      </c>
      <c r="B13" s="9">
        <v>27555.02</v>
      </c>
      <c r="C13" s="10">
        <v>56775.31</v>
      </c>
      <c r="D13" s="10">
        <v>31254.582999999999</v>
      </c>
      <c r="E13" s="10">
        <v>28247.73</v>
      </c>
      <c r="F13" s="10">
        <v>52880.99</v>
      </c>
      <c r="G13" s="10">
        <v>27772.48</v>
      </c>
      <c r="H13" s="10">
        <v>42135.16</v>
      </c>
      <c r="I13" s="10">
        <v>57974.05</v>
      </c>
      <c r="J13" s="10">
        <v>36334.269999999997</v>
      </c>
      <c r="K13" s="9">
        <v>33000.51</v>
      </c>
      <c r="L13" s="10">
        <v>50082.54</v>
      </c>
      <c r="M13" s="11">
        <v>29609.77</v>
      </c>
      <c r="N13" s="107">
        <f t="shared" si="0"/>
        <v>473622.41300000006</v>
      </c>
      <c r="O13" s="19">
        <f>SUM('R 2007'!B13:M13)</f>
        <v>493318.45999999996</v>
      </c>
      <c r="P13" s="77">
        <f t="shared" si="1"/>
        <v>-3.9925623298183277E-2</v>
      </c>
      <c r="Q13" s="37" t="s">
        <v>26</v>
      </c>
    </row>
    <row r="14" spans="1:17">
      <c r="A14" s="37" t="s">
        <v>27</v>
      </c>
      <c r="B14" s="9">
        <v>12948.52</v>
      </c>
      <c r="C14" s="10">
        <v>504.27</v>
      </c>
      <c r="D14" s="10">
        <v>5449.49</v>
      </c>
      <c r="E14" s="10">
        <v>4375.3500000000004</v>
      </c>
      <c r="F14" s="10">
        <v>6994.8</v>
      </c>
      <c r="G14" s="10">
        <v>5736.18</v>
      </c>
      <c r="H14" s="10">
        <v>15456.28</v>
      </c>
      <c r="I14" s="10">
        <v>9354.7900000000009</v>
      </c>
      <c r="J14" s="10">
        <v>6152.62</v>
      </c>
      <c r="K14" s="9">
        <v>5647.98</v>
      </c>
      <c r="L14" s="10">
        <v>9553.18</v>
      </c>
      <c r="M14" s="11">
        <v>5517.57</v>
      </c>
      <c r="N14" s="107">
        <f t="shared" si="0"/>
        <v>87691.03</v>
      </c>
      <c r="O14" s="19">
        <f>SUM('R 2007'!B14:M14)</f>
        <v>83899.57</v>
      </c>
      <c r="P14" s="77">
        <f t="shared" si="1"/>
        <v>4.5190458067901895E-2</v>
      </c>
      <c r="Q14" s="37" t="s">
        <v>27</v>
      </c>
    </row>
    <row r="15" spans="1:17">
      <c r="A15" s="37" t="s">
        <v>28</v>
      </c>
      <c r="B15" s="9">
        <v>7100.7</v>
      </c>
      <c r="C15" s="10">
        <v>7020.37</v>
      </c>
      <c r="D15" s="10">
        <v>2085.58</v>
      </c>
      <c r="E15" s="10">
        <v>2489.59</v>
      </c>
      <c r="F15" s="10">
        <v>10475.19</v>
      </c>
      <c r="G15" s="10">
        <v>5242.4399999999996</v>
      </c>
      <c r="H15" s="10">
        <v>11223.49</v>
      </c>
      <c r="I15" s="10">
        <v>19743.55</v>
      </c>
      <c r="J15" s="10">
        <v>11248.22</v>
      </c>
      <c r="K15" s="9">
        <v>23792.19</v>
      </c>
      <c r="L15" s="10">
        <v>13352.55</v>
      </c>
      <c r="M15" s="11">
        <v>4313.4399999999996</v>
      </c>
      <c r="N15" s="107">
        <f t="shared" si="0"/>
        <v>118087.31000000001</v>
      </c>
      <c r="O15" s="19">
        <f>SUM('R 2007'!B15:M15)</f>
        <v>115169.90999999999</v>
      </c>
      <c r="P15" s="77">
        <f t="shared" si="1"/>
        <v>2.5331269252533373E-2</v>
      </c>
      <c r="Q15" s="37" t="s">
        <v>28</v>
      </c>
    </row>
    <row r="16" spans="1:17">
      <c r="A16" s="37" t="s">
        <v>29</v>
      </c>
      <c r="B16" s="9">
        <v>1106.94</v>
      </c>
      <c r="C16" s="10">
        <v>4664.76</v>
      </c>
      <c r="D16" s="10">
        <v>4319.05</v>
      </c>
      <c r="E16" s="10">
        <v>3097.61</v>
      </c>
      <c r="F16" s="10">
        <v>2942.65</v>
      </c>
      <c r="G16" s="10">
        <v>0</v>
      </c>
      <c r="H16" s="10">
        <v>3371.33</v>
      </c>
      <c r="I16" s="10">
        <v>7063.74</v>
      </c>
      <c r="J16" s="10">
        <v>1920.61</v>
      </c>
      <c r="K16" s="9">
        <v>2302.4899999999998</v>
      </c>
      <c r="L16" s="10">
        <v>6966.04</v>
      </c>
      <c r="M16" s="11">
        <v>2002.34</v>
      </c>
      <c r="N16" s="107">
        <f t="shared" si="0"/>
        <v>39757.56</v>
      </c>
      <c r="O16" s="19">
        <f>SUM('R 2007'!B16:M16)</f>
        <v>35555.660000000003</v>
      </c>
      <c r="P16" s="77">
        <f t="shared" si="1"/>
        <v>0.11817809035185944</v>
      </c>
      <c r="Q16" s="37" t="s">
        <v>29</v>
      </c>
    </row>
    <row r="17" spans="1:17">
      <c r="A17" s="37" t="s">
        <v>30</v>
      </c>
      <c r="B17" s="9">
        <v>423.38</v>
      </c>
      <c r="C17" s="10">
        <v>1499.82</v>
      </c>
      <c r="D17" s="10"/>
      <c r="E17" s="10"/>
      <c r="F17" s="10">
        <v>4275.09</v>
      </c>
      <c r="G17" s="10">
        <v>0</v>
      </c>
      <c r="H17" s="10">
        <v>774.97</v>
      </c>
      <c r="I17" s="10">
        <v>6380.82</v>
      </c>
      <c r="J17" s="10">
        <v>3269.73</v>
      </c>
      <c r="K17" s="9">
        <v>1646.27</v>
      </c>
      <c r="L17" s="10">
        <v>9399.7999999999993</v>
      </c>
      <c r="M17" s="11">
        <v>0</v>
      </c>
      <c r="N17" s="107">
        <f t="shared" si="0"/>
        <v>27669.88</v>
      </c>
      <c r="O17" s="19">
        <f>SUM('R 2007'!B18:M18)</f>
        <v>31422.069999999996</v>
      </c>
      <c r="P17" s="77">
        <f t="shared" si="1"/>
        <v>-0.11941256575394288</v>
      </c>
      <c r="Q17" s="37" t="s">
        <v>30</v>
      </c>
    </row>
    <row r="18" spans="1:17">
      <c r="A18" s="37" t="s">
        <v>31</v>
      </c>
      <c r="B18" s="9">
        <v>1066808.5900000001</v>
      </c>
      <c r="C18" s="10">
        <v>1654586.42</v>
      </c>
      <c r="D18" s="10">
        <v>1116539</v>
      </c>
      <c r="E18" s="10">
        <v>1003797.42</v>
      </c>
      <c r="F18" s="10">
        <v>1623425.84</v>
      </c>
      <c r="G18" s="10">
        <v>1215156.99</v>
      </c>
      <c r="H18" s="10">
        <v>1604482.2</v>
      </c>
      <c r="I18" s="10">
        <v>1557975.88</v>
      </c>
      <c r="J18" s="10">
        <v>1226564.23</v>
      </c>
      <c r="K18" s="9">
        <v>1210896.8899999999</v>
      </c>
      <c r="L18" s="10">
        <v>1545554.11</v>
      </c>
      <c r="M18" s="11">
        <v>1128516.8600000001</v>
      </c>
      <c r="N18" s="107">
        <f t="shared" si="0"/>
        <v>15954304.43</v>
      </c>
      <c r="O18" s="19">
        <f>SUM('R 2007'!B19:M19)</f>
        <v>15626456.369999999</v>
      </c>
      <c r="P18" s="77">
        <f t="shared" si="1"/>
        <v>2.0980320313018108E-2</v>
      </c>
      <c r="Q18" s="37" t="s">
        <v>31</v>
      </c>
    </row>
    <row r="19" spans="1:17">
      <c r="A19" s="37" t="s">
        <v>32</v>
      </c>
      <c r="B19" s="9">
        <v>703.84</v>
      </c>
      <c r="C19" s="10">
        <v>14746.87</v>
      </c>
      <c r="D19" s="10">
        <v>3904.36</v>
      </c>
      <c r="E19" s="10">
        <v>5329.34</v>
      </c>
      <c r="F19" s="10">
        <v>12956.54</v>
      </c>
      <c r="G19" s="10">
        <v>2363.6999999999998</v>
      </c>
      <c r="H19" s="10">
        <v>5391.38</v>
      </c>
      <c r="I19" s="10">
        <v>17303.41</v>
      </c>
      <c r="J19" s="10">
        <v>5209.1099999999997</v>
      </c>
      <c r="K19" s="9">
        <v>388.9</v>
      </c>
      <c r="L19" s="10">
        <v>17840.89</v>
      </c>
      <c r="M19" s="11">
        <v>4493.83</v>
      </c>
      <c r="N19" s="107">
        <f t="shared" si="0"/>
        <v>90632.169999999984</v>
      </c>
      <c r="O19" s="19">
        <f>SUM('R 2007'!B21:M21)</f>
        <v>87193.729999999981</v>
      </c>
      <c r="P19" s="77">
        <f t="shared" si="1"/>
        <v>3.9434486860465912E-2</v>
      </c>
      <c r="Q19" s="37" t="s">
        <v>32</v>
      </c>
    </row>
    <row r="20" spans="1:17">
      <c r="A20" s="37" t="s">
        <v>33</v>
      </c>
      <c r="B20" s="9">
        <v>14604.26</v>
      </c>
      <c r="C20" s="10">
        <v>19409.02</v>
      </c>
      <c r="D20" s="10">
        <v>9943.3799999999992</v>
      </c>
      <c r="E20" s="10">
        <v>7758.24</v>
      </c>
      <c r="F20" s="10">
        <v>26807.63</v>
      </c>
      <c r="G20" s="10">
        <v>9577.44</v>
      </c>
      <c r="H20" s="10">
        <v>13383.22</v>
      </c>
      <c r="I20" s="10">
        <v>29939.14</v>
      </c>
      <c r="J20" s="10">
        <v>12731.89</v>
      </c>
      <c r="K20" s="9">
        <v>14373.09</v>
      </c>
      <c r="L20" s="10">
        <v>26613.86</v>
      </c>
      <c r="M20" s="11">
        <v>13098.15</v>
      </c>
      <c r="N20" s="107">
        <f t="shared" si="0"/>
        <v>198239.32000000004</v>
      </c>
      <c r="O20" s="19">
        <f>SUM('R 2007'!B22:M22)</f>
        <v>192004.83</v>
      </c>
      <c r="P20" s="77">
        <f t="shared" si="1"/>
        <v>3.247048524768914E-2</v>
      </c>
      <c r="Q20" s="37" t="s">
        <v>33</v>
      </c>
    </row>
    <row r="21" spans="1:17">
      <c r="A21" s="37" t="s">
        <v>34</v>
      </c>
      <c r="B21" s="9">
        <v>66929.61</v>
      </c>
      <c r="C21" s="10">
        <v>207963.13</v>
      </c>
      <c r="D21" s="10">
        <v>223738.42</v>
      </c>
      <c r="E21" s="10">
        <v>189014.78</v>
      </c>
      <c r="F21" s="10">
        <v>260115.75</v>
      </c>
      <c r="G21" s="10">
        <v>92790.17</v>
      </c>
      <c r="H21" s="10">
        <v>107889.85</v>
      </c>
      <c r="I21" s="10">
        <v>129342.48</v>
      </c>
      <c r="J21" s="10">
        <v>126328.34</v>
      </c>
      <c r="K21" s="9">
        <v>94707.199999999997</v>
      </c>
      <c r="L21" s="10">
        <v>126642.46</v>
      </c>
      <c r="M21" s="11">
        <v>61303.31</v>
      </c>
      <c r="N21" s="107">
        <f t="shared" si="0"/>
        <v>1686765.5000000002</v>
      </c>
      <c r="O21" s="19">
        <f>SUM('R 2007'!B23:M23)</f>
        <v>1661344.8499999996</v>
      </c>
      <c r="P21" s="77">
        <f t="shared" si="1"/>
        <v>1.530124826281587E-2</v>
      </c>
      <c r="Q21" s="37" t="s">
        <v>34</v>
      </c>
    </row>
    <row r="22" spans="1:17">
      <c r="A22" s="37" t="s">
        <v>35</v>
      </c>
      <c r="B22" s="9">
        <v>25223.77</v>
      </c>
      <c r="C22" s="10">
        <v>34676.71</v>
      </c>
      <c r="D22" s="10">
        <v>21765.46</v>
      </c>
      <c r="E22" s="10">
        <v>19512.150000000001</v>
      </c>
      <c r="F22" s="10">
        <v>42263.01</v>
      </c>
      <c r="G22" s="10">
        <v>26388.35</v>
      </c>
      <c r="H22" s="10">
        <v>50897.38</v>
      </c>
      <c r="I22" s="10">
        <v>48174.62</v>
      </c>
      <c r="J22" s="10">
        <v>26882.13</v>
      </c>
      <c r="K22" s="9">
        <v>28609.9</v>
      </c>
      <c r="L22" s="10">
        <v>43220.89</v>
      </c>
      <c r="M22" s="11">
        <v>22654.2</v>
      </c>
      <c r="N22" s="107">
        <f t="shared" si="0"/>
        <v>390268.57000000007</v>
      </c>
      <c r="O22" s="19">
        <f>SUM('R 2007'!B24:M24)</f>
        <v>380009.7</v>
      </c>
      <c r="P22" s="77">
        <f t="shared" si="1"/>
        <v>2.6996337198761156E-2</v>
      </c>
      <c r="Q22" s="37" t="s">
        <v>35</v>
      </c>
    </row>
    <row r="23" spans="1:17">
      <c r="A23" s="37" t="s">
        <v>36</v>
      </c>
      <c r="B23" s="9">
        <v>16012.94</v>
      </c>
      <c r="C23" s="10">
        <v>41562.400000000001</v>
      </c>
      <c r="D23" s="10">
        <v>16296.64</v>
      </c>
      <c r="E23" s="10">
        <v>20247.64</v>
      </c>
      <c r="F23" s="10">
        <v>45417.58</v>
      </c>
      <c r="G23" s="10">
        <v>21149.49</v>
      </c>
      <c r="H23" s="10">
        <v>26762.36</v>
      </c>
      <c r="I23" s="10">
        <v>50538.71</v>
      </c>
      <c r="J23" s="10">
        <v>21994.23</v>
      </c>
      <c r="K23" s="9">
        <v>25466.61</v>
      </c>
      <c r="L23" s="10">
        <v>38976.089999999997</v>
      </c>
      <c r="M23" s="11">
        <v>26097.66</v>
      </c>
      <c r="N23" s="107">
        <f t="shared" si="0"/>
        <v>350522.34999999992</v>
      </c>
      <c r="O23" s="19">
        <f>SUM('R 2007'!B25:M25)</f>
        <v>302245.92</v>
      </c>
      <c r="P23" s="77">
        <f t="shared" si="1"/>
        <v>0.15972566312888503</v>
      </c>
      <c r="Q23" s="37" t="s">
        <v>36</v>
      </c>
    </row>
    <row r="24" spans="1:17">
      <c r="A24" s="37" t="s">
        <v>37</v>
      </c>
      <c r="B24" s="9">
        <v>333582.53000000003</v>
      </c>
      <c r="C24" s="10">
        <v>421131.52000000002</v>
      </c>
      <c r="D24" s="10">
        <v>307475.27</v>
      </c>
      <c r="E24" s="10">
        <v>248842.27</v>
      </c>
      <c r="F24" s="10">
        <v>432045.98</v>
      </c>
      <c r="G24" s="10">
        <v>333661.76</v>
      </c>
      <c r="H24" s="10">
        <v>410939.75</v>
      </c>
      <c r="I24" s="10">
        <v>468174.57</v>
      </c>
      <c r="J24" s="10">
        <v>336111.53</v>
      </c>
      <c r="K24" s="9">
        <v>346566.57</v>
      </c>
      <c r="L24" s="10">
        <v>444810.9</v>
      </c>
      <c r="M24" s="11">
        <v>313107.32</v>
      </c>
      <c r="N24" s="107">
        <f t="shared" si="0"/>
        <v>4396449.97</v>
      </c>
      <c r="O24" s="19">
        <f>SUM('R 2007'!B26:M26)</f>
        <v>3739922.64</v>
      </c>
      <c r="P24" s="77">
        <f t="shared" si="1"/>
        <v>0.17554569791850017</v>
      </c>
      <c r="Q24" s="37" t="s">
        <v>37</v>
      </c>
    </row>
    <row r="25" spans="1:17">
      <c r="A25" s="37" t="s">
        <v>38</v>
      </c>
      <c r="B25" s="9">
        <v>26674.94</v>
      </c>
      <c r="C25" s="10">
        <v>21855.15</v>
      </c>
      <c r="D25" s="10">
        <v>16842.259999999998</v>
      </c>
      <c r="E25" s="10">
        <v>19264.88</v>
      </c>
      <c r="F25" s="10">
        <v>28998.87</v>
      </c>
      <c r="G25" s="10">
        <v>13677.63</v>
      </c>
      <c r="H25" s="10">
        <v>25022.51</v>
      </c>
      <c r="I25" s="10">
        <v>43548.97</v>
      </c>
      <c r="J25" s="10">
        <v>19724.63</v>
      </c>
      <c r="K25" s="9">
        <v>31909.66</v>
      </c>
      <c r="L25" s="10">
        <v>48749.43</v>
      </c>
      <c r="M25" s="11">
        <v>19734.189999999999</v>
      </c>
      <c r="N25" s="107">
        <f t="shared" si="0"/>
        <v>316003.12</v>
      </c>
      <c r="O25" s="19">
        <f>SUM('R 2007'!B27:M27)</f>
        <v>272159.14999999997</v>
      </c>
      <c r="P25" s="77">
        <f t="shared" si="1"/>
        <v>0.16109680677647642</v>
      </c>
      <c r="Q25" s="37" t="s">
        <v>38</v>
      </c>
    </row>
    <row r="26" spans="1:17">
      <c r="A26" s="37" t="s">
        <v>39</v>
      </c>
      <c r="B26" s="9">
        <v>118483.94</v>
      </c>
      <c r="C26" s="10">
        <v>167738.69</v>
      </c>
      <c r="D26" s="10">
        <v>98397.27</v>
      </c>
      <c r="E26" s="10">
        <v>126436.63</v>
      </c>
      <c r="F26" s="10">
        <v>200890.94</v>
      </c>
      <c r="G26" s="10">
        <v>125242.66</v>
      </c>
      <c r="H26" s="10">
        <v>165462.91</v>
      </c>
      <c r="I26" s="10">
        <v>186856.66</v>
      </c>
      <c r="J26" s="10">
        <v>114722.36</v>
      </c>
      <c r="K26" s="9">
        <v>146115.04</v>
      </c>
      <c r="L26" s="10">
        <v>202643.45</v>
      </c>
      <c r="M26" s="11">
        <v>113279.84</v>
      </c>
      <c r="N26" s="107">
        <f t="shared" si="0"/>
        <v>1766270.3900000001</v>
      </c>
      <c r="O26" s="19">
        <f>SUM('R 2007'!B28:M28)</f>
        <v>1716191.95</v>
      </c>
      <c r="P26" s="77">
        <f t="shared" si="1"/>
        <v>2.9179976051047385E-2</v>
      </c>
      <c r="Q26" s="37" t="s">
        <v>97</v>
      </c>
    </row>
    <row r="27" spans="1:17">
      <c r="A27" s="37" t="s">
        <v>40</v>
      </c>
      <c r="B27" s="9"/>
      <c r="C27" s="10">
        <v>5684.29</v>
      </c>
      <c r="D27" s="10"/>
      <c r="E27" s="10"/>
      <c r="F27" s="10">
        <v>4357.05</v>
      </c>
      <c r="G27" s="10">
        <v>141.72</v>
      </c>
      <c r="H27" s="10">
        <v>441.11</v>
      </c>
      <c r="I27" s="10">
        <v>14825.74</v>
      </c>
      <c r="J27" s="10">
        <v>1256.8900000000001</v>
      </c>
      <c r="K27" s="9">
        <v>21411.48</v>
      </c>
      <c r="L27" s="10">
        <v>0</v>
      </c>
      <c r="M27" s="11">
        <v>0</v>
      </c>
      <c r="N27" s="107">
        <f t="shared" si="0"/>
        <v>48118.28</v>
      </c>
      <c r="O27" s="19">
        <f>SUM('R 2007'!B29:M29)</f>
        <v>39189.089999999997</v>
      </c>
      <c r="P27" s="77">
        <f t="shared" si="1"/>
        <v>0.22784887324507919</v>
      </c>
      <c r="Q27" s="37" t="s">
        <v>40</v>
      </c>
    </row>
    <row r="28" spans="1:17" ht="13" thickBot="1">
      <c r="A28" s="38" t="s">
        <v>41</v>
      </c>
      <c r="B28" s="12">
        <v>144753.97</v>
      </c>
      <c r="C28" s="13">
        <v>261594.34</v>
      </c>
      <c r="D28" s="13">
        <v>164315.35999999999</v>
      </c>
      <c r="E28" s="13">
        <v>145607.99</v>
      </c>
      <c r="F28" s="13">
        <v>247653.68</v>
      </c>
      <c r="G28" s="13">
        <v>212599.74</v>
      </c>
      <c r="H28" s="13">
        <v>205318.94</v>
      </c>
      <c r="I28" s="13">
        <v>248241.96</v>
      </c>
      <c r="J28" s="13">
        <v>169328.2</v>
      </c>
      <c r="K28" s="9">
        <v>177162.46</v>
      </c>
      <c r="L28" s="13">
        <v>282143.24</v>
      </c>
      <c r="M28" s="14">
        <v>139813.97</v>
      </c>
      <c r="N28" s="110">
        <f t="shared" si="0"/>
        <v>2398533.85</v>
      </c>
      <c r="O28" s="19">
        <f>SUM('R 2007'!B30:M30)</f>
        <v>2294127.34</v>
      </c>
      <c r="P28" s="78">
        <f>N28/O28-1</f>
        <v>4.5510337712988624E-2</v>
      </c>
      <c r="Q28" s="38" t="s">
        <v>41</v>
      </c>
    </row>
    <row r="29" spans="1:17" s="154" customFormat="1" ht="14" thickTop="1" thickBot="1">
      <c r="A29" s="142" t="s">
        <v>0</v>
      </c>
      <c r="B29" s="174">
        <f>SUM(B4:B28)</f>
        <v>2197469.0500000003</v>
      </c>
      <c r="C29" s="175">
        <f t="shared" ref="C29:M29" si="2">SUM(C4:C28)</f>
        <v>3401589.1499999994</v>
      </c>
      <c r="D29" s="175">
        <f>SUM(D4:D28)</f>
        <v>2330148.8329999996</v>
      </c>
      <c r="E29" s="175">
        <f t="shared" si="2"/>
        <v>2108161.8999999994</v>
      </c>
      <c r="F29" s="175">
        <f t="shared" si="2"/>
        <v>3508592.3</v>
      </c>
      <c r="G29" s="175">
        <f t="shared" si="2"/>
        <v>2455864.91</v>
      </c>
      <c r="H29" s="175">
        <f t="shared" si="2"/>
        <v>3166334.0999999996</v>
      </c>
      <c r="I29" s="175">
        <f t="shared" si="2"/>
        <v>3513226.9200000009</v>
      </c>
      <c r="J29" s="175">
        <f t="shared" si="2"/>
        <v>2564625.42</v>
      </c>
      <c r="K29" s="175">
        <f t="shared" si="2"/>
        <v>2577037.81</v>
      </c>
      <c r="L29" s="175">
        <f t="shared" si="2"/>
        <v>3408963.6400000006</v>
      </c>
      <c r="M29" s="176">
        <f t="shared" si="2"/>
        <v>2256412.0800000005</v>
      </c>
      <c r="N29" s="177">
        <f>SUM(N4:N28)</f>
        <v>33488426.113000005</v>
      </c>
      <c r="O29" s="163">
        <f>SUM(O4:O28)</f>
        <v>31957859.289999999</v>
      </c>
      <c r="P29" s="178">
        <f>N29/O29-1</f>
        <v>4.7893283749419924E-2</v>
      </c>
      <c r="Q29" s="142"/>
    </row>
    <row r="30" spans="1:17">
      <c r="B30" s="28">
        <f>B29/'R 2007'!B31-1</f>
        <v>0.21734695031292572</v>
      </c>
      <c r="C30" s="28">
        <f>C29/'R 2007'!C31-1</f>
        <v>8.3035990461636899E-2</v>
      </c>
      <c r="D30" s="28">
        <f>D29/'R 2007'!D31-1</f>
        <v>1.1203827661080634E-2</v>
      </c>
      <c r="E30" s="28">
        <f>E29/'R 2007'!E31-1</f>
        <v>-1.1451891119394486E-2</v>
      </c>
      <c r="F30" s="28">
        <f>F29/'R 2007'!F31-1</f>
        <v>9.0740521549453002E-2</v>
      </c>
      <c r="G30" s="28">
        <f>G29/'R 2007'!G31-1</f>
        <v>-7.3880101256417863E-2</v>
      </c>
      <c r="H30" s="28">
        <f>H29/'R 2007'!H31-1</f>
        <v>0.34980659410529324</v>
      </c>
      <c r="I30" s="28">
        <f>I29/'R 2007'!I31-1</f>
        <v>-4.814939912295424E-3</v>
      </c>
      <c r="J30" s="28">
        <f>J29/'R 2007'!J31-1</f>
        <v>4.1061775386974197E-2</v>
      </c>
      <c r="K30" s="28">
        <f>K29/'R 2007'!K31-1</f>
        <v>1.1855307992767461E-3</v>
      </c>
      <c r="L30" s="28">
        <f>L29/'R 2007'!L31-1</f>
        <v>-8.00831732416315E-2</v>
      </c>
      <c r="M30" s="28">
        <f>M29/'R 2007'!M31-1</f>
        <v>8.09897844760612E-2</v>
      </c>
      <c r="N30" s="28"/>
    </row>
    <row r="32" spans="1:17">
      <c r="C32" s="100"/>
    </row>
  </sheetData>
  <mergeCells count="1">
    <mergeCell ref="A1:P1"/>
  </mergeCells>
  <phoneticPr fontId="0" type="noConversion"/>
  <printOptions horizontalCentered="1"/>
  <pageMargins left="0" right="0" top="1" bottom="1" header="0.5" footer="0.5"/>
  <pageSetup scale="86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 enableFormatConditionsCalculation="0">
    <tabColor rgb="FFFFFF00"/>
    <pageSetUpPr fitToPage="1"/>
  </sheetPr>
  <dimension ref="A1:Q38"/>
  <sheetViews>
    <sheetView workbookViewId="0">
      <selection activeCell="H31" sqref="H31"/>
    </sheetView>
  </sheetViews>
  <sheetFormatPr baseColWidth="10" defaultColWidth="8.83203125" defaultRowHeight="12" x14ac:dyDescent="0"/>
  <cols>
    <col min="2" max="2" width="11.1640625" bestFit="1" customWidth="1"/>
    <col min="14" max="15" width="9.5" bestFit="1" customWidth="1"/>
  </cols>
  <sheetData>
    <row r="1" spans="1:17" ht="21">
      <c r="A1" s="691" t="s">
        <v>88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17" ht="13" thickBo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s="154" customFormat="1" ht="13" thickBot="1">
      <c r="A3" s="40" t="s">
        <v>42</v>
      </c>
      <c r="B3" s="171" t="s">
        <v>2</v>
      </c>
      <c r="C3" s="156" t="s">
        <v>3</v>
      </c>
      <c r="D3" s="156" t="s">
        <v>4</v>
      </c>
      <c r="E3" s="156" t="s">
        <v>5</v>
      </c>
      <c r="F3" s="156" t="s">
        <v>6</v>
      </c>
      <c r="G3" s="156" t="s">
        <v>7</v>
      </c>
      <c r="H3" s="156" t="s">
        <v>8</v>
      </c>
      <c r="I3" s="156" t="s">
        <v>9</v>
      </c>
      <c r="J3" s="156" t="s">
        <v>10</v>
      </c>
      <c r="K3" s="156" t="s">
        <v>11</v>
      </c>
      <c r="L3" s="156" t="s">
        <v>12</v>
      </c>
      <c r="M3" s="158" t="s">
        <v>13</v>
      </c>
      <c r="N3" s="172" t="s">
        <v>89</v>
      </c>
      <c r="O3" s="156" t="s">
        <v>79</v>
      </c>
      <c r="P3" s="161" t="s">
        <v>16</v>
      </c>
      <c r="Q3" s="40" t="s">
        <v>42</v>
      </c>
    </row>
    <row r="4" spans="1:17">
      <c r="A4" s="37" t="s">
        <v>17</v>
      </c>
      <c r="B4" s="9">
        <v>5019.99</v>
      </c>
      <c r="C4" s="10">
        <v>10898.06</v>
      </c>
      <c r="D4" s="10">
        <v>2645.86</v>
      </c>
      <c r="E4" s="10">
        <v>2522.6</v>
      </c>
      <c r="F4" s="10">
        <v>9656.64</v>
      </c>
      <c r="G4" s="10">
        <v>5103.1400000000003</v>
      </c>
      <c r="H4" s="10">
        <v>3497.09</v>
      </c>
      <c r="I4" s="10">
        <v>13780.64</v>
      </c>
      <c r="J4" s="10">
        <v>6113.72</v>
      </c>
      <c r="K4" s="10">
        <v>4843.6099999999997</v>
      </c>
      <c r="L4" s="10">
        <v>12769.88</v>
      </c>
      <c r="M4" s="11">
        <v>4149.66</v>
      </c>
      <c r="N4" s="109">
        <f>SUM(B4:M4)</f>
        <v>81000.890000000014</v>
      </c>
      <c r="O4" s="19">
        <f>SUM('R 2006'!B4:M4)</f>
        <v>83576.320000000007</v>
      </c>
      <c r="P4" s="77">
        <f>N4/O4-1</f>
        <v>-3.0815307493797239E-2</v>
      </c>
      <c r="Q4" s="37" t="s">
        <v>17</v>
      </c>
    </row>
    <row r="5" spans="1:17">
      <c r="A5" s="37" t="s">
        <v>18</v>
      </c>
      <c r="B5" s="9">
        <v>18262.939999999999</v>
      </c>
      <c r="C5" s="10">
        <v>39529.94</v>
      </c>
      <c r="D5" s="10">
        <v>24133.32</v>
      </c>
      <c r="E5" s="10">
        <v>25529.32</v>
      </c>
      <c r="F5" s="10">
        <v>38993.089999999997</v>
      </c>
      <c r="G5" s="10">
        <v>29570.400000000001</v>
      </c>
      <c r="H5" s="10">
        <v>26026.49</v>
      </c>
      <c r="I5" s="10">
        <v>50434.080000000002</v>
      </c>
      <c r="J5" s="10">
        <v>29875.86</v>
      </c>
      <c r="K5" s="10">
        <v>29829.48</v>
      </c>
      <c r="L5" s="10">
        <v>49930.559999999998</v>
      </c>
      <c r="M5" s="11">
        <v>24418.35</v>
      </c>
      <c r="N5" s="107">
        <f t="shared" ref="N5:N30" si="0">SUM(B5:M5)</f>
        <v>386533.82999999996</v>
      </c>
      <c r="O5" s="19">
        <f>SUM('R 2006'!B5:M5)</f>
        <v>353630.98</v>
      </c>
      <c r="P5" s="77">
        <f t="shared" ref="P5:P29" si="1">N5/O5-1</f>
        <v>9.3042894601598425E-2</v>
      </c>
      <c r="Q5" s="37" t="s">
        <v>18</v>
      </c>
    </row>
    <row r="6" spans="1:17">
      <c r="A6" s="37" t="s">
        <v>19</v>
      </c>
      <c r="B6" s="9">
        <v>53875.33</v>
      </c>
      <c r="C6" s="10">
        <v>91503.679999999993</v>
      </c>
      <c r="D6" s="10">
        <v>63633.1</v>
      </c>
      <c r="E6" s="10">
        <v>57106.17</v>
      </c>
      <c r="F6" s="10">
        <v>88920</v>
      </c>
      <c r="G6" s="10">
        <v>122962.1</v>
      </c>
      <c r="H6" s="10">
        <v>28056.240000000002</v>
      </c>
      <c r="I6" s="10">
        <v>102078.21</v>
      </c>
      <c r="J6" s="10">
        <v>65238.33</v>
      </c>
      <c r="K6" s="10">
        <v>72872.25</v>
      </c>
      <c r="L6" s="10">
        <v>104637.94</v>
      </c>
      <c r="M6" s="11">
        <v>64186.75</v>
      </c>
      <c r="N6" s="107">
        <f t="shared" si="0"/>
        <v>915070.09999999986</v>
      </c>
      <c r="O6" s="19">
        <f>SUM('R 2006'!B6:M6)</f>
        <v>843426.07999999984</v>
      </c>
      <c r="P6" s="77">
        <f t="shared" si="1"/>
        <v>8.4944041569120055E-2</v>
      </c>
      <c r="Q6" s="37" t="s">
        <v>19</v>
      </c>
    </row>
    <row r="7" spans="1:17">
      <c r="A7" s="37" t="s">
        <v>20</v>
      </c>
      <c r="B7" s="9">
        <v>9938.36</v>
      </c>
      <c r="C7" s="10">
        <v>24721.040000000001</v>
      </c>
      <c r="D7" s="10">
        <v>10014.39</v>
      </c>
      <c r="E7" s="10">
        <v>10231.67</v>
      </c>
      <c r="F7" s="10">
        <v>23289.06</v>
      </c>
      <c r="G7" s="10">
        <v>12884.74</v>
      </c>
      <c r="H7" s="10">
        <v>14449.64</v>
      </c>
      <c r="I7" s="10">
        <v>27359.759999999998</v>
      </c>
      <c r="J7" s="10">
        <v>14743.12</v>
      </c>
      <c r="K7" s="10">
        <v>15480.02</v>
      </c>
      <c r="L7" s="10">
        <v>23958.39</v>
      </c>
      <c r="M7" s="11">
        <v>15525.45</v>
      </c>
      <c r="N7" s="107">
        <f t="shared" si="0"/>
        <v>202595.64</v>
      </c>
      <c r="O7" s="19">
        <f>SUM('R 2006'!B7:M7)</f>
        <v>198183.75</v>
      </c>
      <c r="P7" s="77">
        <f t="shared" si="1"/>
        <v>2.2261613275558645E-2</v>
      </c>
      <c r="Q7" s="37" t="s">
        <v>20</v>
      </c>
    </row>
    <row r="8" spans="1:17">
      <c r="A8" s="37" t="s">
        <v>21</v>
      </c>
      <c r="B8" s="9">
        <v>311.27</v>
      </c>
      <c r="C8" s="10">
        <v>625.69000000000005</v>
      </c>
      <c r="D8" s="10">
        <v>204.61</v>
      </c>
      <c r="E8" s="10">
        <v>176.74</v>
      </c>
      <c r="F8" s="10">
        <v>695.89</v>
      </c>
      <c r="G8" s="10">
        <v>910.45</v>
      </c>
      <c r="H8" s="10">
        <v>1285.46</v>
      </c>
      <c r="I8" s="10">
        <v>1770.66</v>
      </c>
      <c r="J8" s="10">
        <v>2955.2</v>
      </c>
      <c r="K8" s="10">
        <v>1674.92</v>
      </c>
      <c r="L8" s="10">
        <v>2890.6</v>
      </c>
      <c r="M8" s="11">
        <v>1421.71</v>
      </c>
      <c r="N8" s="107">
        <f t="shared" si="0"/>
        <v>14923.2</v>
      </c>
      <c r="O8" s="19">
        <f>SUM('R 2006'!B8:M8)</f>
        <v>12830.48</v>
      </c>
      <c r="P8" s="77">
        <f t="shared" si="1"/>
        <v>0.16310535537251925</v>
      </c>
      <c r="Q8" s="37" t="s">
        <v>21</v>
      </c>
    </row>
    <row r="9" spans="1:17">
      <c r="A9" s="37" t="s">
        <v>22</v>
      </c>
      <c r="B9" s="9">
        <v>153793.87</v>
      </c>
      <c r="C9" s="10">
        <v>266361.42</v>
      </c>
      <c r="D9" s="10">
        <v>191033.77</v>
      </c>
      <c r="E9" s="10">
        <v>165033.47</v>
      </c>
      <c r="F9" s="10">
        <v>243618.57</v>
      </c>
      <c r="G9" s="10">
        <v>225083.67</v>
      </c>
      <c r="H9" s="10">
        <v>215651.15</v>
      </c>
      <c r="I9" s="10">
        <v>318802.13</v>
      </c>
      <c r="J9" s="10">
        <v>229236.51</v>
      </c>
      <c r="K9" s="10">
        <v>225842.67</v>
      </c>
      <c r="L9" s="10">
        <v>300207.44</v>
      </c>
      <c r="M9" s="11">
        <v>177730.52</v>
      </c>
      <c r="N9" s="107">
        <f t="shared" si="0"/>
        <v>2712395.19</v>
      </c>
      <c r="O9" s="19">
        <f>SUM('R 2006'!B9:M9)</f>
        <v>2459707.59</v>
      </c>
      <c r="P9" s="77">
        <f t="shared" si="1"/>
        <v>0.10273074776339586</v>
      </c>
      <c r="Q9" s="37" t="s">
        <v>22</v>
      </c>
    </row>
    <row r="10" spans="1:17">
      <c r="A10" s="37" t="s">
        <v>23</v>
      </c>
      <c r="B10" s="9">
        <v>7485.76</v>
      </c>
      <c r="C10" s="10">
        <v>11240.93</v>
      </c>
      <c r="D10" s="10">
        <v>7075.72</v>
      </c>
      <c r="E10" s="10">
        <v>3994.65</v>
      </c>
      <c r="F10" s="10">
        <v>10499.26</v>
      </c>
      <c r="G10" s="10">
        <v>8009.57</v>
      </c>
      <c r="H10" s="10">
        <v>6629</v>
      </c>
      <c r="I10" s="10">
        <v>15184.37</v>
      </c>
      <c r="J10" s="10">
        <v>6030.28</v>
      </c>
      <c r="K10" s="10">
        <v>6469.06</v>
      </c>
      <c r="L10" s="10">
        <v>16201.5</v>
      </c>
      <c r="M10" s="11">
        <v>5920.49</v>
      </c>
      <c r="N10" s="107">
        <f t="shared" si="0"/>
        <v>104740.59000000001</v>
      </c>
      <c r="O10" s="19">
        <f>SUM('R 2006'!B10:M10)</f>
        <v>96805.949999999983</v>
      </c>
      <c r="P10" s="77">
        <f t="shared" si="1"/>
        <v>8.1964383387591599E-2</v>
      </c>
      <c r="Q10" s="37" t="s">
        <v>23</v>
      </c>
    </row>
    <row r="11" spans="1:17">
      <c r="A11" s="37" t="s">
        <v>24</v>
      </c>
      <c r="B11" s="9">
        <v>4153.12</v>
      </c>
      <c r="C11" s="10">
        <v>7140.89</v>
      </c>
      <c r="D11" s="10">
        <v>1053.05</v>
      </c>
      <c r="E11" s="10">
        <v>1611.27</v>
      </c>
      <c r="F11" s="10">
        <v>5902.69</v>
      </c>
      <c r="G11" s="10">
        <v>10401.629999999999</v>
      </c>
      <c r="H11" s="10">
        <v>14432.58</v>
      </c>
      <c r="I11" s="10">
        <v>30371.759999999998</v>
      </c>
      <c r="J11" s="10">
        <v>23208.07</v>
      </c>
      <c r="K11" s="10">
        <v>18349.62</v>
      </c>
      <c r="L11" s="10">
        <v>35743.730000000003</v>
      </c>
      <c r="M11" s="11">
        <v>18288.91</v>
      </c>
      <c r="N11" s="107">
        <f t="shared" si="0"/>
        <v>170657.32</v>
      </c>
      <c r="O11" s="19">
        <f>SUM('R 2006'!B11:M11)</f>
        <v>149821.72</v>
      </c>
      <c r="P11" s="77">
        <f t="shared" si="1"/>
        <v>0.13906928848500733</v>
      </c>
      <c r="Q11" s="37" t="s">
        <v>24</v>
      </c>
    </row>
    <row r="12" spans="1:17">
      <c r="A12" s="37" t="s">
        <v>25</v>
      </c>
      <c r="B12" s="9">
        <v>12189.12</v>
      </c>
      <c r="C12" s="10">
        <v>18842.77</v>
      </c>
      <c r="D12" s="10">
        <v>7587.39</v>
      </c>
      <c r="E12" s="10">
        <v>9965.7900000000009</v>
      </c>
      <c r="F12" s="10">
        <v>30370.26</v>
      </c>
      <c r="G12" s="10">
        <v>32791.96</v>
      </c>
      <c r="H12" s="10">
        <v>28148.43</v>
      </c>
      <c r="I12" s="10">
        <v>46474.76</v>
      </c>
      <c r="J12" s="10">
        <v>21485.19</v>
      </c>
      <c r="K12" s="10">
        <v>20594.240000000002</v>
      </c>
      <c r="L12" s="10">
        <v>47058.33</v>
      </c>
      <c r="M12" s="11">
        <v>24223.05</v>
      </c>
      <c r="N12" s="107">
        <f t="shared" si="0"/>
        <v>299731.28999999998</v>
      </c>
      <c r="O12" s="19">
        <f>SUM('R 2006'!B12:M12)</f>
        <v>267927.54000000004</v>
      </c>
      <c r="P12" s="77">
        <f t="shared" si="1"/>
        <v>0.1187028030041255</v>
      </c>
      <c r="Q12" s="37" t="s">
        <v>25</v>
      </c>
    </row>
    <row r="13" spans="1:17">
      <c r="A13" s="37" t="s">
        <v>26</v>
      </c>
      <c r="B13" s="9">
        <v>24332.560000000001</v>
      </c>
      <c r="C13" s="10">
        <v>58027.519999999997</v>
      </c>
      <c r="D13" s="10">
        <v>33190.839999999997</v>
      </c>
      <c r="E13" s="10">
        <v>28558.76</v>
      </c>
      <c r="F13" s="10">
        <v>48260.89</v>
      </c>
      <c r="G13" s="10">
        <v>35059.800000000003</v>
      </c>
      <c r="H13" s="10">
        <v>39617.839999999997</v>
      </c>
      <c r="I13" s="10">
        <v>54968.76</v>
      </c>
      <c r="J13" s="10">
        <v>42687.85</v>
      </c>
      <c r="K13" s="10">
        <v>39584.370000000003</v>
      </c>
      <c r="L13" s="10">
        <v>56316.7</v>
      </c>
      <c r="M13" s="11">
        <v>32712.57</v>
      </c>
      <c r="N13" s="107">
        <f t="shared" si="0"/>
        <v>493318.45999999996</v>
      </c>
      <c r="O13" s="19">
        <f>SUM('R 2006'!B13:M13)</f>
        <v>465485.42</v>
      </c>
      <c r="P13" s="77">
        <f t="shared" si="1"/>
        <v>5.9793580645340016E-2</v>
      </c>
      <c r="Q13" s="37" t="s">
        <v>26</v>
      </c>
    </row>
    <row r="14" spans="1:17">
      <c r="A14" s="37" t="s">
        <v>27</v>
      </c>
      <c r="B14" s="9">
        <v>4979.38</v>
      </c>
      <c r="C14" s="10">
        <v>8009.74</v>
      </c>
      <c r="D14" s="10">
        <v>4710.03</v>
      </c>
      <c r="E14" s="10">
        <v>4632.54</v>
      </c>
      <c r="F14" s="10">
        <v>8533.02</v>
      </c>
      <c r="G14" s="10">
        <v>8413.98</v>
      </c>
      <c r="H14" s="10">
        <v>5438.13</v>
      </c>
      <c r="I14" s="10">
        <v>11379.15</v>
      </c>
      <c r="J14" s="10">
        <v>7601.51</v>
      </c>
      <c r="K14" s="10">
        <v>4781.1000000000004</v>
      </c>
      <c r="L14" s="10">
        <v>9462.24</v>
      </c>
      <c r="M14" s="11">
        <v>5958.75</v>
      </c>
      <c r="N14" s="107">
        <f t="shared" si="0"/>
        <v>83899.57</v>
      </c>
      <c r="O14" s="19">
        <f>SUM('R 2006'!B14:M14)</f>
        <v>79511.650000000009</v>
      </c>
      <c r="P14" s="77">
        <f t="shared" si="1"/>
        <v>5.5185875277396379E-2</v>
      </c>
      <c r="Q14" s="37" t="s">
        <v>27</v>
      </c>
    </row>
    <row r="15" spans="1:17">
      <c r="A15" s="37" t="s">
        <v>28</v>
      </c>
      <c r="B15" s="9">
        <v>6198.17</v>
      </c>
      <c r="C15" s="10">
        <v>9296.27</v>
      </c>
      <c r="D15" s="10">
        <v>2738.91</v>
      </c>
      <c r="E15" s="10">
        <v>2730.43</v>
      </c>
      <c r="F15" s="10">
        <v>9707.07</v>
      </c>
      <c r="G15" s="10">
        <v>6751.86</v>
      </c>
      <c r="H15" s="10">
        <v>6408.4</v>
      </c>
      <c r="I15" s="10">
        <v>22014.73</v>
      </c>
      <c r="J15" s="10">
        <v>11392.58</v>
      </c>
      <c r="K15" s="10">
        <v>12028.12</v>
      </c>
      <c r="L15" s="10">
        <v>17530.310000000001</v>
      </c>
      <c r="M15" s="11">
        <v>8373.06</v>
      </c>
      <c r="N15" s="107">
        <f t="shared" si="0"/>
        <v>115169.90999999999</v>
      </c>
      <c r="O15" s="19">
        <f>SUM('R 2006'!B15:M15)</f>
        <v>100513.16000000002</v>
      </c>
      <c r="P15" s="77">
        <f t="shared" si="1"/>
        <v>0.14581921412081722</v>
      </c>
      <c r="Q15" s="37" t="s">
        <v>28</v>
      </c>
    </row>
    <row r="16" spans="1:17">
      <c r="A16" s="37" t="s">
        <v>29</v>
      </c>
      <c r="B16" s="9">
        <v>575.85</v>
      </c>
      <c r="C16" s="10">
        <v>2834.19</v>
      </c>
      <c r="D16" s="10">
        <v>1801.32</v>
      </c>
      <c r="E16" s="10">
        <v>1109.44</v>
      </c>
      <c r="F16" s="10">
        <v>2568.44</v>
      </c>
      <c r="G16" s="10">
        <v>4844.7700000000004</v>
      </c>
      <c r="H16" s="10">
        <v>180.54</v>
      </c>
      <c r="I16" s="10">
        <v>4475.03</v>
      </c>
      <c r="J16" s="10">
        <v>5347.02</v>
      </c>
      <c r="K16" s="10">
        <v>6064.17</v>
      </c>
      <c r="L16" s="10">
        <v>3712.53</v>
      </c>
      <c r="M16" s="11">
        <v>2042.36</v>
      </c>
      <c r="N16" s="107">
        <f t="shared" si="0"/>
        <v>35555.660000000003</v>
      </c>
      <c r="O16" s="19">
        <f>SUM('R 2006'!B16:M16)</f>
        <v>32273.269999999997</v>
      </c>
      <c r="P16" s="77">
        <f t="shared" si="1"/>
        <v>0.10170614877265316</v>
      </c>
      <c r="Q16" s="37" t="s">
        <v>29</v>
      </c>
    </row>
    <row r="17" spans="1:17">
      <c r="A17" s="37" t="s">
        <v>53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107">
        <f t="shared" si="0"/>
        <v>0</v>
      </c>
      <c r="O17" s="19">
        <f>SUM('R 2006'!B17:M17)</f>
        <v>1963.3000000000002</v>
      </c>
      <c r="P17" s="77"/>
      <c r="Q17" s="37" t="s">
        <v>53</v>
      </c>
    </row>
    <row r="18" spans="1:17">
      <c r="A18" s="37" t="s">
        <v>30</v>
      </c>
      <c r="B18" s="9">
        <v>362.84</v>
      </c>
      <c r="C18" s="10">
        <v>4513.6499999999996</v>
      </c>
      <c r="D18" s="10">
        <v>10.210000000000001</v>
      </c>
      <c r="E18" s="10">
        <v>0</v>
      </c>
      <c r="F18" s="10">
        <v>38.94</v>
      </c>
      <c r="G18" s="10">
        <v>1082.3800000000001</v>
      </c>
      <c r="H18" s="10">
        <v>2850.84</v>
      </c>
      <c r="I18" s="10">
        <v>4270.18</v>
      </c>
      <c r="J18" s="10">
        <v>1782.83</v>
      </c>
      <c r="K18" s="10">
        <v>3730.18</v>
      </c>
      <c r="L18" s="10">
        <v>11027.15</v>
      </c>
      <c r="M18" s="11">
        <v>1752.87</v>
      </c>
      <c r="N18" s="107">
        <f>SUM(B18:M18)</f>
        <v>31422.069999999996</v>
      </c>
      <c r="O18" s="19">
        <f>SUM('R 2006'!B18:M18)</f>
        <v>29431.55</v>
      </c>
      <c r="P18" s="77">
        <f t="shared" si="1"/>
        <v>6.7632183829937409E-2</v>
      </c>
      <c r="Q18" s="37" t="s">
        <v>30</v>
      </c>
    </row>
    <row r="19" spans="1:17">
      <c r="A19" s="37" t="s">
        <v>31</v>
      </c>
      <c r="B19" s="9">
        <v>978405.36</v>
      </c>
      <c r="C19" s="10">
        <v>1522022.03</v>
      </c>
      <c r="D19" s="10">
        <v>1205436.02</v>
      </c>
      <c r="E19" s="10">
        <v>1108657.1000000001</v>
      </c>
      <c r="F19" s="10">
        <v>1604387.27</v>
      </c>
      <c r="G19" s="10">
        <v>1275464.71</v>
      </c>
      <c r="H19" s="10">
        <v>1183241.3500000001</v>
      </c>
      <c r="I19" s="10">
        <v>1629625.75</v>
      </c>
      <c r="J19" s="10">
        <v>1153425.1000000001</v>
      </c>
      <c r="K19" s="10">
        <v>1240083.0900000001</v>
      </c>
      <c r="L19" s="10">
        <v>1710794.34</v>
      </c>
      <c r="M19" s="11">
        <v>1014914.25</v>
      </c>
      <c r="N19" s="107">
        <f t="shared" si="0"/>
        <v>15626456.369999999</v>
      </c>
      <c r="O19" s="19">
        <f>SUM('R 2006'!B19:M19)</f>
        <v>14361535.350000001</v>
      </c>
      <c r="P19" s="77">
        <f t="shared" si="1"/>
        <v>8.8077004942232584E-2</v>
      </c>
      <c r="Q19" s="37" t="s">
        <v>31</v>
      </c>
    </row>
    <row r="20" spans="1:17">
      <c r="A20" s="37" t="s">
        <v>45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107">
        <f t="shared" si="0"/>
        <v>0</v>
      </c>
      <c r="O20" s="19">
        <f>SUM('R 2006'!B20:M20)</f>
        <v>0</v>
      </c>
      <c r="P20" s="77" t="s">
        <v>46</v>
      </c>
      <c r="Q20" s="37" t="s">
        <v>45</v>
      </c>
    </row>
    <row r="21" spans="1:17">
      <c r="A21" s="37" t="s">
        <v>32</v>
      </c>
      <c r="B21" s="9">
        <v>2654.23</v>
      </c>
      <c r="C21" s="10">
        <v>13697.37</v>
      </c>
      <c r="D21" s="10">
        <v>1791.39</v>
      </c>
      <c r="E21" s="10">
        <v>2202.6</v>
      </c>
      <c r="F21" s="10">
        <v>14644.11</v>
      </c>
      <c r="G21" s="10">
        <v>6414.31</v>
      </c>
      <c r="H21" s="10">
        <v>1936.74</v>
      </c>
      <c r="I21" s="10">
        <v>18746.38</v>
      </c>
      <c r="J21" s="10">
        <v>2893.42</v>
      </c>
      <c r="K21" s="10">
        <v>1854.89</v>
      </c>
      <c r="L21" s="10">
        <v>18002</v>
      </c>
      <c r="M21" s="11">
        <v>2356.29</v>
      </c>
      <c r="N21" s="107">
        <f t="shared" si="0"/>
        <v>87193.729999999981</v>
      </c>
      <c r="O21" s="19">
        <f>SUM('R 2006'!B21:M21)</f>
        <v>77837.070000000007</v>
      </c>
      <c r="P21" s="77">
        <f t="shared" si="1"/>
        <v>0.1202082760823342</v>
      </c>
      <c r="Q21" s="37" t="s">
        <v>32</v>
      </c>
    </row>
    <row r="22" spans="1:17">
      <c r="A22" s="37" t="s">
        <v>33</v>
      </c>
      <c r="B22" s="9">
        <v>7148.74</v>
      </c>
      <c r="C22" s="10">
        <v>24384.720000000001</v>
      </c>
      <c r="D22" s="10">
        <v>10583.07</v>
      </c>
      <c r="E22" s="10">
        <v>6839.68</v>
      </c>
      <c r="F22" s="10">
        <v>21215.88</v>
      </c>
      <c r="G22" s="10">
        <v>13219.27</v>
      </c>
      <c r="H22" s="10">
        <v>10198.31</v>
      </c>
      <c r="I22" s="10">
        <v>31064.62</v>
      </c>
      <c r="J22" s="10">
        <v>13812.64</v>
      </c>
      <c r="K22" s="10">
        <v>12129.52</v>
      </c>
      <c r="L22" s="10">
        <v>29573.22</v>
      </c>
      <c r="M22" s="11">
        <v>11835.16</v>
      </c>
      <c r="N22" s="107">
        <f t="shared" si="0"/>
        <v>192004.83</v>
      </c>
      <c r="O22" s="19">
        <f>SUM('R 2006'!B22:M22)</f>
        <v>176991.26</v>
      </c>
      <c r="P22" s="77">
        <f t="shared" si="1"/>
        <v>8.4826617992323383E-2</v>
      </c>
      <c r="Q22" s="37" t="s">
        <v>33</v>
      </c>
    </row>
    <row r="23" spans="1:17">
      <c r="A23" s="37" t="s">
        <v>34</v>
      </c>
      <c r="B23" s="9">
        <v>66542.880000000005</v>
      </c>
      <c r="C23" s="10">
        <v>182703.48</v>
      </c>
      <c r="D23" s="10">
        <v>198995.24</v>
      </c>
      <c r="E23" s="10">
        <v>183124.38</v>
      </c>
      <c r="F23" s="10">
        <v>243910.91</v>
      </c>
      <c r="G23" s="10">
        <v>127768.9</v>
      </c>
      <c r="H23" s="10">
        <v>92529.95</v>
      </c>
      <c r="I23" s="10">
        <v>125732.71</v>
      </c>
      <c r="J23" s="10">
        <v>115207.37</v>
      </c>
      <c r="K23" s="10">
        <v>120627.44</v>
      </c>
      <c r="L23" s="10">
        <v>154767.44</v>
      </c>
      <c r="M23" s="11">
        <v>49434.15</v>
      </c>
      <c r="N23" s="107">
        <f t="shared" si="0"/>
        <v>1661344.8499999996</v>
      </c>
      <c r="O23" s="19">
        <f>SUM('R 2006'!B23:M23)</f>
        <v>1518813.8800000001</v>
      </c>
      <c r="P23" s="77">
        <f t="shared" si="1"/>
        <v>9.3843605116381568E-2</v>
      </c>
      <c r="Q23" s="37" t="s">
        <v>34</v>
      </c>
    </row>
    <row r="24" spans="1:17">
      <c r="A24" s="37" t="s">
        <v>35</v>
      </c>
      <c r="B24" s="9">
        <v>20453.060000000001</v>
      </c>
      <c r="C24" s="10">
        <v>41405.51</v>
      </c>
      <c r="D24" s="10">
        <v>24646.02</v>
      </c>
      <c r="E24" s="10">
        <v>23404.25</v>
      </c>
      <c r="F24" s="10">
        <v>41780.93</v>
      </c>
      <c r="G24" s="10">
        <v>25207.21</v>
      </c>
      <c r="H24" s="10">
        <v>31098.68</v>
      </c>
      <c r="I24" s="10">
        <v>41888.449999999997</v>
      </c>
      <c r="J24" s="10">
        <v>30481</v>
      </c>
      <c r="K24" s="10">
        <v>26152.51</v>
      </c>
      <c r="L24" s="10">
        <v>41414.269999999997</v>
      </c>
      <c r="M24" s="11">
        <v>32077.81</v>
      </c>
      <c r="N24" s="107">
        <f t="shared" si="0"/>
        <v>380009.7</v>
      </c>
      <c r="O24" s="19">
        <f>SUM('R 2006'!B24:M24)</f>
        <v>355465.43</v>
      </c>
      <c r="P24" s="77">
        <f t="shared" si="1"/>
        <v>6.9048261598884553E-2</v>
      </c>
      <c r="Q24" s="37" t="s">
        <v>35</v>
      </c>
    </row>
    <row r="25" spans="1:17">
      <c r="A25" s="37" t="s">
        <v>36</v>
      </c>
      <c r="B25" s="9">
        <v>17946.169999999998</v>
      </c>
      <c r="C25" s="10">
        <v>40096.47</v>
      </c>
      <c r="D25" s="10">
        <v>18100.240000000002</v>
      </c>
      <c r="E25" s="10">
        <v>11349.62</v>
      </c>
      <c r="F25" s="10">
        <v>43642.74</v>
      </c>
      <c r="G25" s="10">
        <v>12609.71</v>
      </c>
      <c r="H25" s="10">
        <v>20082.36</v>
      </c>
      <c r="I25" s="10">
        <v>44855.05</v>
      </c>
      <c r="J25" s="10">
        <v>15855.45</v>
      </c>
      <c r="K25" s="10">
        <v>17066.419999999998</v>
      </c>
      <c r="L25" s="10">
        <v>41311.93</v>
      </c>
      <c r="M25" s="11">
        <v>19329.759999999998</v>
      </c>
      <c r="N25" s="107">
        <f t="shared" si="0"/>
        <v>302245.92</v>
      </c>
      <c r="O25" s="19">
        <f>SUM('R 2006'!B25:M25)</f>
        <v>266994.54000000004</v>
      </c>
      <c r="P25" s="77">
        <f t="shared" si="1"/>
        <v>0.13203034039572481</v>
      </c>
      <c r="Q25" s="37" t="s">
        <v>36</v>
      </c>
    </row>
    <row r="26" spans="1:17">
      <c r="A26" s="37" t="s">
        <v>37</v>
      </c>
      <c r="B26" s="9">
        <v>182244.52</v>
      </c>
      <c r="C26" s="10">
        <v>319810.56</v>
      </c>
      <c r="D26" s="10">
        <v>209947.95</v>
      </c>
      <c r="E26" s="10">
        <v>196569.15</v>
      </c>
      <c r="F26" s="10">
        <v>293137.09999999998</v>
      </c>
      <c r="G26" s="10">
        <v>340436.42</v>
      </c>
      <c r="H26" s="10">
        <v>288729.89</v>
      </c>
      <c r="I26" s="10">
        <v>441529.81</v>
      </c>
      <c r="J26" s="10">
        <v>327835.89</v>
      </c>
      <c r="K26" s="10">
        <v>348483.4</v>
      </c>
      <c r="L26" s="10">
        <v>513015.06</v>
      </c>
      <c r="M26" s="11">
        <v>278182.89</v>
      </c>
      <c r="N26" s="107">
        <f t="shared" si="0"/>
        <v>3739922.64</v>
      </c>
      <c r="O26" s="19">
        <f>SUM('R 2006'!B26:M26)</f>
        <v>3044614.73</v>
      </c>
      <c r="P26" s="77">
        <f t="shared" si="1"/>
        <v>0.22837303621663829</v>
      </c>
      <c r="Q26" s="37" t="s">
        <v>37</v>
      </c>
    </row>
    <row r="27" spans="1:17">
      <c r="A27" s="37" t="s">
        <v>38</v>
      </c>
      <c r="B27" s="9">
        <v>11063</v>
      </c>
      <c r="C27" s="10">
        <v>26988.89</v>
      </c>
      <c r="D27" s="10">
        <v>13645.22</v>
      </c>
      <c r="E27" s="10">
        <v>12936.92</v>
      </c>
      <c r="F27" s="10">
        <v>30468.68</v>
      </c>
      <c r="G27" s="10">
        <v>14843.87</v>
      </c>
      <c r="H27" s="10">
        <v>17805.669999999998</v>
      </c>
      <c r="I27" s="10">
        <v>40411.550000000003</v>
      </c>
      <c r="J27" s="10">
        <v>22180.03</v>
      </c>
      <c r="K27" s="10">
        <v>23943.9</v>
      </c>
      <c r="L27" s="10">
        <v>38674.78</v>
      </c>
      <c r="M27" s="11">
        <v>19196.64</v>
      </c>
      <c r="N27" s="107">
        <f t="shared" si="0"/>
        <v>272159.14999999997</v>
      </c>
      <c r="O27" s="19">
        <f>SUM('R 2006'!B27:M27)</f>
        <v>234700.48999999996</v>
      </c>
      <c r="P27" s="77">
        <f t="shared" si="1"/>
        <v>0.15960196759708523</v>
      </c>
      <c r="Q27" s="37" t="s">
        <v>38</v>
      </c>
    </row>
    <row r="28" spans="1:17">
      <c r="A28" s="37" t="s">
        <v>39</v>
      </c>
      <c r="B28" s="9">
        <v>73152.039999999994</v>
      </c>
      <c r="C28" s="10">
        <v>157913.21</v>
      </c>
      <c r="D28" s="10">
        <v>114803.69</v>
      </c>
      <c r="E28" s="10">
        <v>120698.39</v>
      </c>
      <c r="F28" s="10">
        <v>180367.4</v>
      </c>
      <c r="G28" s="10">
        <v>147167.67999999999</v>
      </c>
      <c r="H28" s="10">
        <v>142940.56</v>
      </c>
      <c r="I28" s="10">
        <v>185401.98</v>
      </c>
      <c r="J28" s="10">
        <v>150368.10999999999</v>
      </c>
      <c r="K28" s="10">
        <v>134186.9</v>
      </c>
      <c r="L28" s="10">
        <v>194706.79</v>
      </c>
      <c r="M28" s="11">
        <v>114485.2</v>
      </c>
      <c r="N28" s="107">
        <f t="shared" si="0"/>
        <v>1716191.95</v>
      </c>
      <c r="O28" s="19">
        <f>SUM('R 2006'!B28:M28)</f>
        <v>1664934.9500000002</v>
      </c>
      <c r="P28" s="77">
        <f t="shared" si="1"/>
        <v>3.0786187772681384E-2</v>
      </c>
      <c r="Q28" s="37" t="s">
        <v>39</v>
      </c>
    </row>
    <row r="29" spans="1:17">
      <c r="A29" s="37" t="s">
        <v>40</v>
      </c>
      <c r="B29" s="9">
        <v>520.80999999999995</v>
      </c>
      <c r="C29" s="10">
        <v>4895.13</v>
      </c>
      <c r="D29" s="10">
        <v>0</v>
      </c>
      <c r="E29" s="10">
        <v>0</v>
      </c>
      <c r="F29" s="10">
        <v>2136.2399999999998</v>
      </c>
      <c r="G29" s="10">
        <v>833.48</v>
      </c>
      <c r="H29" s="10">
        <v>1762.33</v>
      </c>
      <c r="I29" s="10">
        <v>11369.32</v>
      </c>
      <c r="J29" s="10">
        <v>1246.8499999999999</v>
      </c>
      <c r="K29" s="10">
        <v>705.14</v>
      </c>
      <c r="L29" s="10">
        <v>15719.79</v>
      </c>
      <c r="M29" s="11">
        <v>0</v>
      </c>
      <c r="N29" s="107">
        <f t="shared" si="0"/>
        <v>39189.089999999997</v>
      </c>
      <c r="O29" s="19">
        <f>SUM('R 2006'!B29:M29)</f>
        <v>34491.040000000001</v>
      </c>
      <c r="P29" s="77">
        <f t="shared" si="1"/>
        <v>0.13621073762925073</v>
      </c>
      <c r="Q29" s="37" t="s">
        <v>40</v>
      </c>
    </row>
    <row r="30" spans="1:17" ht="13" thickBot="1">
      <c r="A30" s="38" t="s">
        <v>41</v>
      </c>
      <c r="B30" s="12">
        <v>143520.26</v>
      </c>
      <c r="C30" s="13">
        <v>253327.34</v>
      </c>
      <c r="D30" s="13">
        <v>156550.14000000001</v>
      </c>
      <c r="E30" s="13">
        <v>153599.07999999999</v>
      </c>
      <c r="F30" s="13">
        <v>219961.58</v>
      </c>
      <c r="G30" s="13">
        <v>183942.57</v>
      </c>
      <c r="H30" s="13">
        <v>162771.06</v>
      </c>
      <c r="I30" s="13">
        <v>256234.9</v>
      </c>
      <c r="J30" s="13">
        <v>162467</v>
      </c>
      <c r="K30" s="13">
        <v>186609.25</v>
      </c>
      <c r="L30" s="13">
        <v>256303.35999999999</v>
      </c>
      <c r="M30" s="14">
        <v>158840.79999999999</v>
      </c>
      <c r="N30" s="110">
        <f t="shared" si="0"/>
        <v>2294127.34</v>
      </c>
      <c r="O30" s="19">
        <f>SUM('R 2006'!B30:M30)</f>
        <v>2081772.2500000002</v>
      </c>
      <c r="P30" s="78">
        <f>N30/O30-1</f>
        <v>0.10200687899456806</v>
      </c>
      <c r="Q30" s="38" t="s">
        <v>41</v>
      </c>
    </row>
    <row r="31" spans="1:17" s="154" customFormat="1" ht="14" thickTop="1" thickBot="1">
      <c r="A31" s="142" t="s">
        <v>0</v>
      </c>
      <c r="B31" s="174">
        <f>SUM(B4:B30)</f>
        <v>1805129.6300000001</v>
      </c>
      <c r="C31" s="175">
        <f t="shared" ref="C31:M31" si="2">SUM(C4:C30)</f>
        <v>3140790.5</v>
      </c>
      <c r="D31" s="175">
        <f>SUM(D4:D30)</f>
        <v>2304331.5</v>
      </c>
      <c r="E31" s="175">
        <f t="shared" si="2"/>
        <v>2132584.02</v>
      </c>
      <c r="F31" s="175">
        <f t="shared" si="2"/>
        <v>3216706.6600000006</v>
      </c>
      <c r="G31" s="175">
        <f t="shared" si="2"/>
        <v>2651778.58</v>
      </c>
      <c r="H31" s="175">
        <f t="shared" si="2"/>
        <v>2345768.7300000004</v>
      </c>
      <c r="I31" s="175">
        <f t="shared" si="2"/>
        <v>3530224.7399999998</v>
      </c>
      <c r="J31" s="175">
        <f t="shared" si="2"/>
        <v>2463470.9299999997</v>
      </c>
      <c r="K31" s="175">
        <f t="shared" si="2"/>
        <v>2573986.2699999996</v>
      </c>
      <c r="L31" s="175">
        <f t="shared" si="2"/>
        <v>3705730.2800000003</v>
      </c>
      <c r="M31" s="176">
        <f t="shared" si="2"/>
        <v>2087357.45</v>
      </c>
      <c r="N31" s="177">
        <f>SUM(N4:N30)</f>
        <v>31957859.289999999</v>
      </c>
      <c r="O31" s="168">
        <f>SUM(O4:O30)</f>
        <v>28993239.749999996</v>
      </c>
      <c r="P31" s="178">
        <f>N31/O31-1</f>
        <v>0.10225209619770093</v>
      </c>
      <c r="Q31" s="142" t="s">
        <v>0</v>
      </c>
    </row>
    <row r="32" spans="1:17">
      <c r="B32" s="28">
        <f>B31/'R 2006'!B31-1</f>
        <v>-3.3102826602578572E-2</v>
      </c>
      <c r="C32" s="28">
        <f>C31/'R 2006'!C31-1</f>
        <v>4.1290274745110711E-2</v>
      </c>
      <c r="D32" s="28">
        <f>D31/'R 2006'!D31-1</f>
        <v>0.12437250961578328</v>
      </c>
      <c r="E32" s="28">
        <f>E31/'R 2006'!E31-1</f>
        <v>7.0545340163737258E-2</v>
      </c>
      <c r="F32" s="28">
        <f>F31/'R 2006'!F31-1</f>
        <v>-1.4655078468299498E-2</v>
      </c>
      <c r="G32" s="28">
        <f>G31/'R 2006'!G31-1</f>
        <v>0.31011467736174447</v>
      </c>
      <c r="H32" s="28">
        <f>H31/'R 2006'!H31-1</f>
        <v>0.24569201110357697</v>
      </c>
      <c r="I32" s="28">
        <f>I31/'R 2006'!I31-1</f>
        <v>0.11144254827590472</v>
      </c>
      <c r="J32" s="28">
        <f>J31/'R 2006'!J31-1</f>
        <v>0.13103797757683733</v>
      </c>
      <c r="K32" s="28">
        <f>K31/'R 2006'!K31-1</f>
        <v>0.2314963316188714</v>
      </c>
      <c r="L32" s="28">
        <f>L31/'R 2006'!L31-1</f>
        <v>0.1554820095272218</v>
      </c>
      <c r="M32" s="28">
        <f>M31/'R 2006'!M31-1</f>
        <v>-7.0344423880419837E-2</v>
      </c>
      <c r="N32" s="28"/>
    </row>
    <row r="36" spans="2:2">
      <c r="B36" s="100"/>
    </row>
    <row r="37" spans="2:2">
      <c r="B37" s="100"/>
    </row>
    <row r="38" spans="2:2">
      <c r="B38" s="118"/>
    </row>
  </sheetData>
  <mergeCells count="1">
    <mergeCell ref="A1:P1"/>
  </mergeCells>
  <phoneticPr fontId="0" type="noConversion"/>
  <pageMargins left="0" right="0" top="1" bottom="1" header="0.5" footer="0.5"/>
  <pageSetup scale="82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 enableFormatConditionsCalculation="0">
    <tabColor rgb="FFFFFF00"/>
    <pageSetUpPr fitToPage="1"/>
  </sheetPr>
  <dimension ref="A1:Q35"/>
  <sheetViews>
    <sheetView workbookViewId="0">
      <selection activeCell="H31" sqref="H31"/>
    </sheetView>
  </sheetViews>
  <sheetFormatPr baseColWidth="10" defaultColWidth="8.83203125" defaultRowHeight="12" x14ac:dyDescent="0"/>
  <cols>
    <col min="2" max="2" width="11.1640625" bestFit="1" customWidth="1"/>
    <col min="10" max="10" width="11.1640625" bestFit="1" customWidth="1"/>
    <col min="14" max="15" width="9.5" bestFit="1" customWidth="1"/>
  </cols>
  <sheetData>
    <row r="1" spans="1:17" ht="21">
      <c r="A1" s="691" t="s">
        <v>81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17" ht="13" thickBo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s="154" customFormat="1" ht="13" thickBot="1">
      <c r="A3" s="40" t="s">
        <v>42</v>
      </c>
      <c r="B3" s="171" t="s">
        <v>2</v>
      </c>
      <c r="C3" s="156" t="s">
        <v>3</v>
      </c>
      <c r="D3" s="156" t="s">
        <v>4</v>
      </c>
      <c r="E3" s="156" t="s">
        <v>5</v>
      </c>
      <c r="F3" s="156" t="s">
        <v>6</v>
      </c>
      <c r="G3" s="156" t="s">
        <v>7</v>
      </c>
      <c r="H3" s="156" t="s">
        <v>8</v>
      </c>
      <c r="I3" s="156" t="s">
        <v>9</v>
      </c>
      <c r="J3" s="156" t="s">
        <v>10</v>
      </c>
      <c r="K3" s="156" t="s">
        <v>11</v>
      </c>
      <c r="L3" s="156" t="s">
        <v>12</v>
      </c>
      <c r="M3" s="158" t="s">
        <v>13</v>
      </c>
      <c r="N3" s="172" t="s">
        <v>82</v>
      </c>
      <c r="O3" s="156" t="s">
        <v>74</v>
      </c>
      <c r="P3" s="161" t="s">
        <v>16</v>
      </c>
      <c r="Q3" s="40" t="s">
        <v>42</v>
      </c>
    </row>
    <row r="4" spans="1:17">
      <c r="A4" s="37" t="s">
        <v>17</v>
      </c>
      <c r="B4" s="9">
        <v>11329.63</v>
      </c>
      <c r="C4" s="10">
        <v>9832.84</v>
      </c>
      <c r="D4" s="10">
        <v>3194.5</v>
      </c>
      <c r="E4" s="10">
        <v>3158.52</v>
      </c>
      <c r="F4" s="10">
        <v>12923.88</v>
      </c>
      <c r="G4" s="10">
        <v>3597.76</v>
      </c>
      <c r="H4" s="10">
        <v>3236.2</v>
      </c>
      <c r="I4" s="10">
        <v>11884.18</v>
      </c>
      <c r="J4" s="10">
        <v>5859.12</v>
      </c>
      <c r="K4" s="10">
        <v>2429.9499999999998</v>
      </c>
      <c r="L4" s="10">
        <v>12081.21</v>
      </c>
      <c r="M4" s="11">
        <v>4048.53</v>
      </c>
      <c r="N4" s="26">
        <f>SUM(B4:M4)</f>
        <v>83576.320000000007</v>
      </c>
      <c r="O4" s="19">
        <f>SUM('R 2005'!B4:M4)</f>
        <v>71448.37</v>
      </c>
      <c r="P4" s="77">
        <f>N4/O4-1</f>
        <v>0.16974425028870521</v>
      </c>
      <c r="Q4" s="37" t="s">
        <v>17</v>
      </c>
    </row>
    <row r="5" spans="1:17">
      <c r="A5" s="37" t="s">
        <v>18</v>
      </c>
      <c r="B5" s="9">
        <v>21643.78</v>
      </c>
      <c r="C5" s="10">
        <v>34301.279999999999</v>
      </c>
      <c r="D5" s="10">
        <v>21438.400000000001</v>
      </c>
      <c r="E5" s="10">
        <v>16855.55</v>
      </c>
      <c r="F5" s="10">
        <v>38071.800000000003</v>
      </c>
      <c r="G5" s="10">
        <v>24487.91</v>
      </c>
      <c r="H5" s="10">
        <v>25097.919999999998</v>
      </c>
      <c r="I5" s="10">
        <v>43527.360000000001</v>
      </c>
      <c r="J5" s="10">
        <v>28702.39</v>
      </c>
      <c r="K5" s="10">
        <v>17876</v>
      </c>
      <c r="L5" s="10">
        <v>54293.37</v>
      </c>
      <c r="M5" s="11">
        <v>27335.22</v>
      </c>
      <c r="N5" s="26">
        <f t="shared" ref="N5:N30" si="0">SUM(B5:M5)</f>
        <v>353630.98</v>
      </c>
      <c r="O5" s="19">
        <f>SUM('R 2005'!B5:M5)</f>
        <v>314857.28000000003</v>
      </c>
      <c r="P5" s="77">
        <f t="shared" ref="P5:P29" si="1">N5/O5-1</f>
        <v>0.12314690643328929</v>
      </c>
      <c r="Q5" s="37" t="s">
        <v>18</v>
      </c>
    </row>
    <row r="6" spans="1:17">
      <c r="A6" s="37" t="s">
        <v>19</v>
      </c>
      <c r="B6" s="9">
        <v>53345.54</v>
      </c>
      <c r="C6" s="10">
        <v>88045.95</v>
      </c>
      <c r="D6" s="10">
        <v>57384.44</v>
      </c>
      <c r="E6" s="10">
        <v>54456.56</v>
      </c>
      <c r="F6" s="10">
        <v>84567.65</v>
      </c>
      <c r="G6" s="10">
        <v>58705.8</v>
      </c>
      <c r="H6" s="10">
        <v>63418.06</v>
      </c>
      <c r="I6" s="10">
        <v>85530.51</v>
      </c>
      <c r="J6" s="10">
        <v>71304.850000000006</v>
      </c>
      <c r="K6" s="10">
        <v>60363.96</v>
      </c>
      <c r="L6" s="10">
        <v>88020.82</v>
      </c>
      <c r="M6" s="11">
        <v>78281.94</v>
      </c>
      <c r="N6" s="26">
        <f t="shared" si="0"/>
        <v>843426.07999999984</v>
      </c>
      <c r="O6" s="19">
        <f>SUM('R 2005'!B6:M6)</f>
        <v>800604.76</v>
      </c>
      <c r="P6" s="77">
        <f t="shared" si="1"/>
        <v>5.3486217094187438E-2</v>
      </c>
      <c r="Q6" s="37" t="s">
        <v>19</v>
      </c>
    </row>
    <row r="7" spans="1:17">
      <c r="A7" s="37" t="s">
        <v>20</v>
      </c>
      <c r="B7" s="9">
        <v>10437.719999999999</v>
      </c>
      <c r="C7" s="10">
        <v>22820.19</v>
      </c>
      <c r="D7" s="10">
        <v>10862.63</v>
      </c>
      <c r="E7" s="10">
        <v>10106.82</v>
      </c>
      <c r="F7" s="10">
        <v>24518.33</v>
      </c>
      <c r="G7" s="10">
        <v>12180.11</v>
      </c>
      <c r="H7" s="10">
        <v>12605.66</v>
      </c>
      <c r="I7" s="10">
        <v>27766.87</v>
      </c>
      <c r="J7" s="10">
        <v>13508.08</v>
      </c>
      <c r="K7" s="10">
        <v>12700.84</v>
      </c>
      <c r="L7" s="10">
        <v>22833.01</v>
      </c>
      <c r="M7" s="11">
        <v>17843.490000000002</v>
      </c>
      <c r="N7" s="26">
        <f t="shared" si="0"/>
        <v>198183.75</v>
      </c>
      <c r="O7" s="19">
        <f>SUM('R 2005'!B7:M7)</f>
        <v>176289.21000000002</v>
      </c>
      <c r="P7" s="77">
        <f t="shared" si="1"/>
        <v>0.12419671062114346</v>
      </c>
      <c r="Q7" s="37" t="s">
        <v>20</v>
      </c>
    </row>
    <row r="8" spans="1:17">
      <c r="A8" s="37" t="s">
        <v>21</v>
      </c>
      <c r="B8" s="9">
        <v>0</v>
      </c>
      <c r="C8" s="10">
        <v>316.16000000000003</v>
      </c>
      <c r="D8" s="10">
        <v>743.69</v>
      </c>
      <c r="E8" s="10">
        <v>474.7</v>
      </c>
      <c r="F8" s="10">
        <v>655.79</v>
      </c>
      <c r="G8" s="10">
        <v>892.61</v>
      </c>
      <c r="H8" s="10">
        <v>1272.92</v>
      </c>
      <c r="I8" s="10">
        <v>2249.87</v>
      </c>
      <c r="J8" s="10">
        <v>1792.28</v>
      </c>
      <c r="K8" s="10">
        <v>1394.3</v>
      </c>
      <c r="L8" s="10">
        <v>2054.25</v>
      </c>
      <c r="M8" s="11">
        <v>983.91</v>
      </c>
      <c r="N8" s="26">
        <f t="shared" si="0"/>
        <v>12830.48</v>
      </c>
      <c r="O8" s="19">
        <f>SUM('R 2005'!B8:M8)</f>
        <v>14562.980000000001</v>
      </c>
      <c r="P8" s="77">
        <f t="shared" si="1"/>
        <v>-0.11896603579761844</v>
      </c>
      <c r="Q8" s="37" t="s">
        <v>21</v>
      </c>
    </row>
    <row r="9" spans="1:17">
      <c r="A9" s="37" t="s">
        <v>22</v>
      </c>
      <c r="B9" s="9">
        <v>154195.34</v>
      </c>
      <c r="C9" s="10">
        <v>251037.12</v>
      </c>
      <c r="D9" s="10">
        <v>150966.78</v>
      </c>
      <c r="E9" s="10">
        <v>148220.1</v>
      </c>
      <c r="F9" s="10">
        <v>260518.94</v>
      </c>
      <c r="G9" s="10">
        <v>172289.37</v>
      </c>
      <c r="H9" s="10">
        <v>170058.99</v>
      </c>
      <c r="I9" s="10">
        <v>298759.71999999997</v>
      </c>
      <c r="J9" s="10">
        <v>211419.51</v>
      </c>
      <c r="K9" s="10">
        <v>189628.77</v>
      </c>
      <c r="L9" s="10">
        <v>273162.28000000003</v>
      </c>
      <c r="M9" s="11">
        <v>179450.67</v>
      </c>
      <c r="N9" s="26">
        <f t="shared" si="0"/>
        <v>2459707.59</v>
      </c>
      <c r="O9" s="19">
        <f>SUM('R 2005'!B9:M9)</f>
        <v>2202388.46</v>
      </c>
      <c r="P9" s="77">
        <f t="shared" si="1"/>
        <v>0.11683639588267725</v>
      </c>
      <c r="Q9" s="37" t="s">
        <v>22</v>
      </c>
    </row>
    <row r="10" spans="1:17">
      <c r="A10" s="37" t="s">
        <v>23</v>
      </c>
      <c r="B10" s="9">
        <v>7386.75</v>
      </c>
      <c r="C10" s="10">
        <v>9613.3700000000008</v>
      </c>
      <c r="D10" s="10">
        <v>4934.8100000000004</v>
      </c>
      <c r="E10" s="10">
        <v>4152.5</v>
      </c>
      <c r="F10" s="10">
        <v>13487.46</v>
      </c>
      <c r="G10" s="10">
        <v>5227.34</v>
      </c>
      <c r="H10" s="10">
        <v>6058.99</v>
      </c>
      <c r="I10" s="10">
        <v>14744.69</v>
      </c>
      <c r="J10" s="10">
        <v>5452.28</v>
      </c>
      <c r="K10" s="10">
        <v>4857.9399999999996</v>
      </c>
      <c r="L10" s="10">
        <v>15777.65</v>
      </c>
      <c r="M10" s="11">
        <v>5112.17</v>
      </c>
      <c r="N10" s="26">
        <f t="shared" si="0"/>
        <v>96805.949999999983</v>
      </c>
      <c r="O10" s="19">
        <f>SUM('R 2005'!B10:M10)</f>
        <v>87985.86</v>
      </c>
      <c r="P10" s="77">
        <f t="shared" si="1"/>
        <v>0.10024440290746695</v>
      </c>
      <c r="Q10" s="37" t="s">
        <v>23</v>
      </c>
    </row>
    <row r="11" spans="1:17">
      <c r="A11" s="37" t="s">
        <v>24</v>
      </c>
      <c r="B11" s="9">
        <v>4041.45</v>
      </c>
      <c r="C11" s="10">
        <v>6972.43</v>
      </c>
      <c r="D11" s="10">
        <v>2951.61</v>
      </c>
      <c r="E11" s="10">
        <v>1616.59</v>
      </c>
      <c r="F11" s="10">
        <v>5480.39</v>
      </c>
      <c r="G11" s="10">
        <v>16691.79</v>
      </c>
      <c r="H11" s="10">
        <v>13643.89</v>
      </c>
      <c r="I11" s="10">
        <v>25403.9</v>
      </c>
      <c r="J11" s="10">
        <v>14926.09</v>
      </c>
      <c r="K11" s="10">
        <v>17249.23</v>
      </c>
      <c r="L11" s="10">
        <v>29399.07</v>
      </c>
      <c r="M11" s="11">
        <v>11445.28</v>
      </c>
      <c r="N11" s="26">
        <f t="shared" si="0"/>
        <v>149821.72</v>
      </c>
      <c r="O11" s="19">
        <f>SUM('R 2005'!B11:M11)</f>
        <v>143301.5</v>
      </c>
      <c r="P11" s="77">
        <f t="shared" si="1"/>
        <v>4.5500012212014607E-2</v>
      </c>
      <c r="Q11" s="37" t="s">
        <v>24</v>
      </c>
    </row>
    <row r="12" spans="1:17">
      <c r="A12" s="37" t="s">
        <v>25</v>
      </c>
      <c r="B12" s="9">
        <v>12987.81</v>
      </c>
      <c r="C12" s="10">
        <v>16218.22</v>
      </c>
      <c r="D12" s="10">
        <v>6789.33</v>
      </c>
      <c r="E12" s="10">
        <v>10040.85</v>
      </c>
      <c r="F12" s="10">
        <v>29506.83</v>
      </c>
      <c r="G12" s="10">
        <v>24684.75</v>
      </c>
      <c r="H12" s="10">
        <v>32410.03</v>
      </c>
      <c r="I12" s="10">
        <v>22690.91</v>
      </c>
      <c r="J12" s="10">
        <v>24238.55</v>
      </c>
      <c r="K12" s="10">
        <v>22251.82</v>
      </c>
      <c r="L12" s="10">
        <v>47579.88</v>
      </c>
      <c r="M12" s="11">
        <v>18528.560000000001</v>
      </c>
      <c r="N12" s="26">
        <f t="shared" si="0"/>
        <v>267927.54000000004</v>
      </c>
      <c r="O12" s="19">
        <f>SUM('R 2005'!B12:M12)</f>
        <v>252107.55000000002</v>
      </c>
      <c r="P12" s="77">
        <f t="shared" si="1"/>
        <v>6.2750956883282694E-2</v>
      </c>
      <c r="Q12" s="37" t="s">
        <v>25</v>
      </c>
    </row>
    <row r="13" spans="1:17">
      <c r="A13" s="37" t="s">
        <v>26</v>
      </c>
      <c r="B13" s="9">
        <v>28382.5</v>
      </c>
      <c r="C13" s="10">
        <v>47487.49</v>
      </c>
      <c r="D13" s="10">
        <v>25100.7</v>
      </c>
      <c r="E13" s="10">
        <v>31101.35</v>
      </c>
      <c r="F13" s="10">
        <v>50070.41</v>
      </c>
      <c r="G13" s="10">
        <v>32129.040000000001</v>
      </c>
      <c r="H13" s="10">
        <v>27285.52</v>
      </c>
      <c r="I13" s="10">
        <v>61501.2</v>
      </c>
      <c r="J13" s="10">
        <v>33747.15</v>
      </c>
      <c r="K13" s="10">
        <v>31803.41</v>
      </c>
      <c r="L13" s="10">
        <v>61544.5</v>
      </c>
      <c r="M13" s="11">
        <v>35332.15</v>
      </c>
      <c r="N13" s="26">
        <f t="shared" si="0"/>
        <v>465485.42</v>
      </c>
      <c r="O13" s="19">
        <f>SUM('R 2005'!B13:M13)</f>
        <v>407376.55</v>
      </c>
      <c r="P13" s="77">
        <f t="shared" si="1"/>
        <v>0.14264166653677046</v>
      </c>
      <c r="Q13" s="37" t="s">
        <v>26</v>
      </c>
    </row>
    <row r="14" spans="1:17">
      <c r="A14" s="37" t="s">
        <v>27</v>
      </c>
      <c r="B14" s="9">
        <v>5977.66</v>
      </c>
      <c r="C14" s="10">
        <v>9088.27</v>
      </c>
      <c r="D14" s="10">
        <v>4459.63</v>
      </c>
      <c r="E14" s="10">
        <v>4978.6499999999996</v>
      </c>
      <c r="F14" s="10">
        <v>8221.4699999999993</v>
      </c>
      <c r="G14" s="10">
        <v>5919.79</v>
      </c>
      <c r="H14" s="10">
        <v>5495.04</v>
      </c>
      <c r="I14" s="10">
        <v>8593.43</v>
      </c>
      <c r="J14" s="10">
        <v>7382.66</v>
      </c>
      <c r="K14" s="10">
        <v>4000.46</v>
      </c>
      <c r="L14" s="10">
        <v>9029.89</v>
      </c>
      <c r="M14" s="11">
        <v>6364.7</v>
      </c>
      <c r="N14" s="26">
        <f t="shared" si="0"/>
        <v>79511.650000000009</v>
      </c>
      <c r="O14" s="19">
        <f>SUM('R 2005'!B14:M14)</f>
        <v>80790.3</v>
      </c>
      <c r="P14" s="77">
        <f t="shared" si="1"/>
        <v>-1.582677623427553E-2</v>
      </c>
      <c r="Q14" s="37" t="s">
        <v>27</v>
      </c>
    </row>
    <row r="15" spans="1:17">
      <c r="A15" s="37" t="s">
        <v>28</v>
      </c>
      <c r="B15" s="9">
        <v>4024.62</v>
      </c>
      <c r="C15" s="10">
        <v>9046.01</v>
      </c>
      <c r="D15" s="10">
        <v>3622.2</v>
      </c>
      <c r="E15" s="10">
        <v>2282.06</v>
      </c>
      <c r="F15" s="10">
        <v>7842.67</v>
      </c>
      <c r="G15" s="10">
        <v>5403.9</v>
      </c>
      <c r="H15" s="10">
        <v>4373.03</v>
      </c>
      <c r="I15" s="10">
        <v>20854.740000000002</v>
      </c>
      <c r="J15" s="10">
        <v>7563.54</v>
      </c>
      <c r="K15" s="10">
        <v>6010</v>
      </c>
      <c r="L15" s="10">
        <v>23033.84</v>
      </c>
      <c r="M15" s="11">
        <v>6456.55</v>
      </c>
      <c r="N15" s="26">
        <f t="shared" si="0"/>
        <v>100513.16000000002</v>
      </c>
      <c r="O15" s="19">
        <f>SUM('R 2005'!B15:M15)</f>
        <v>94344.04</v>
      </c>
      <c r="P15" s="77">
        <f t="shared" si="1"/>
        <v>6.5389610196892489E-2</v>
      </c>
      <c r="Q15" s="37" t="s">
        <v>28</v>
      </c>
    </row>
    <row r="16" spans="1:17">
      <c r="A16" s="37" t="s">
        <v>29</v>
      </c>
      <c r="B16" s="9">
        <v>805.79</v>
      </c>
      <c r="C16" s="10">
        <v>4818.1499999999996</v>
      </c>
      <c r="D16" s="10">
        <v>825.97</v>
      </c>
      <c r="E16" s="10">
        <v>435.81</v>
      </c>
      <c r="F16" s="10">
        <v>3368.53</v>
      </c>
      <c r="G16" s="10">
        <v>3930.26</v>
      </c>
      <c r="H16" s="10">
        <v>607.54999999999995</v>
      </c>
      <c r="I16" s="10">
        <v>6811.86</v>
      </c>
      <c r="J16" s="10">
        <v>212.92</v>
      </c>
      <c r="K16" s="10">
        <v>84.44</v>
      </c>
      <c r="L16" s="10">
        <v>8761.77</v>
      </c>
      <c r="M16" s="11">
        <v>1610.22</v>
      </c>
      <c r="N16" s="26">
        <f t="shared" si="0"/>
        <v>32273.269999999997</v>
      </c>
      <c r="O16" s="19">
        <f>SUM('R 2005'!B16:M16)</f>
        <v>27640.690000000002</v>
      </c>
      <c r="P16" s="77">
        <f t="shared" si="1"/>
        <v>0.1676000128795625</v>
      </c>
      <c r="Q16" s="37" t="s">
        <v>29</v>
      </c>
    </row>
    <row r="17" spans="1:17">
      <c r="A17" s="37" t="s">
        <v>53</v>
      </c>
      <c r="B17" s="9"/>
      <c r="C17" s="10"/>
      <c r="D17" s="10"/>
      <c r="E17" s="10"/>
      <c r="F17" s="10"/>
      <c r="G17" s="10"/>
      <c r="H17" s="10"/>
      <c r="I17" s="10"/>
      <c r="J17" s="10">
        <v>546.07000000000005</v>
      </c>
      <c r="K17" s="10">
        <v>1417.23</v>
      </c>
      <c r="L17" s="10"/>
      <c r="M17" s="11">
        <v>0</v>
      </c>
      <c r="N17" s="26">
        <f t="shared" si="0"/>
        <v>1963.3000000000002</v>
      </c>
      <c r="O17" s="19" t="s">
        <v>46</v>
      </c>
      <c r="P17" s="77"/>
      <c r="Q17" s="37" t="s">
        <v>53</v>
      </c>
    </row>
    <row r="18" spans="1:17">
      <c r="A18" s="37" t="s">
        <v>30</v>
      </c>
      <c r="B18" s="9">
        <v>3013.4</v>
      </c>
      <c r="C18" s="10">
        <v>0</v>
      </c>
      <c r="D18" s="10">
        <v>0</v>
      </c>
      <c r="E18" s="10"/>
      <c r="F18" s="10">
        <v>2601.27</v>
      </c>
      <c r="G18" s="10">
        <v>1346.62</v>
      </c>
      <c r="H18" s="10">
        <v>0</v>
      </c>
      <c r="I18" s="10">
        <v>4181.38</v>
      </c>
      <c r="J18" s="10">
        <v>2320.31</v>
      </c>
      <c r="K18" s="10"/>
      <c r="L18" s="10">
        <v>14890.93</v>
      </c>
      <c r="M18" s="11">
        <v>1077.6400000000001</v>
      </c>
      <c r="N18" s="26">
        <f t="shared" si="0"/>
        <v>29431.55</v>
      </c>
      <c r="O18" s="19">
        <f>SUM('R 2005'!B17:M17)</f>
        <v>0</v>
      </c>
      <c r="P18" s="77" t="e">
        <f t="shared" si="1"/>
        <v>#DIV/0!</v>
      </c>
      <c r="Q18" s="37" t="s">
        <v>30</v>
      </c>
    </row>
    <row r="19" spans="1:17">
      <c r="A19" s="37" t="s">
        <v>31</v>
      </c>
      <c r="B19" s="9">
        <v>974590.02</v>
      </c>
      <c r="C19" s="10">
        <v>1447073.97</v>
      </c>
      <c r="D19" s="10">
        <v>1053890.03</v>
      </c>
      <c r="E19" s="10">
        <v>1028130.44</v>
      </c>
      <c r="F19" s="10">
        <v>1606366.26</v>
      </c>
      <c r="G19" s="10">
        <v>1024914.76</v>
      </c>
      <c r="H19" s="10">
        <v>943329.62</v>
      </c>
      <c r="I19" s="10">
        <v>1513620.96</v>
      </c>
      <c r="J19" s="10">
        <v>1063103.8899999999</v>
      </c>
      <c r="K19" s="10">
        <v>1074586.43</v>
      </c>
      <c r="L19" s="10">
        <v>1495976.43</v>
      </c>
      <c r="M19" s="11">
        <v>1135952.54</v>
      </c>
      <c r="N19" s="26">
        <f t="shared" si="0"/>
        <v>14361535.350000001</v>
      </c>
      <c r="O19" s="19">
        <f>SUM('R 2005'!B18:M18)</f>
        <v>13086864.689999999</v>
      </c>
      <c r="P19" s="77">
        <f t="shared" si="1"/>
        <v>9.7400767119874665E-2</v>
      </c>
      <c r="Q19" s="37" t="s">
        <v>31</v>
      </c>
    </row>
    <row r="20" spans="1:17">
      <c r="A20" s="37" t="s">
        <v>45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26">
        <f t="shared" si="0"/>
        <v>0</v>
      </c>
      <c r="O20" s="19">
        <f>SUM('R 2005'!B19:M19)</f>
        <v>0</v>
      </c>
      <c r="P20" s="77" t="s">
        <v>46</v>
      </c>
      <c r="Q20" s="37" t="s">
        <v>45</v>
      </c>
    </row>
    <row r="21" spans="1:17">
      <c r="A21" s="37" t="s">
        <v>32</v>
      </c>
      <c r="B21" s="9">
        <v>4481.1499999999996</v>
      </c>
      <c r="C21" s="10">
        <v>11530.86</v>
      </c>
      <c r="D21" s="10">
        <v>3590.85</v>
      </c>
      <c r="E21" s="10">
        <v>2017.57</v>
      </c>
      <c r="F21" s="10">
        <v>13677.31</v>
      </c>
      <c r="G21" s="10">
        <v>2230.5100000000002</v>
      </c>
      <c r="H21" s="10">
        <v>3331.36</v>
      </c>
      <c r="I21" s="10">
        <v>14573.89</v>
      </c>
      <c r="J21" s="10">
        <v>2521.86</v>
      </c>
      <c r="K21" s="10">
        <v>2641.3</v>
      </c>
      <c r="L21" s="10">
        <v>13933.08</v>
      </c>
      <c r="M21" s="11">
        <v>3307.33</v>
      </c>
      <c r="N21" s="26">
        <f t="shared" si="0"/>
        <v>77837.070000000007</v>
      </c>
      <c r="O21" s="19">
        <f>SUM('R 2005'!B20:M20)</f>
        <v>82374.8</v>
      </c>
      <c r="P21" s="77">
        <f t="shared" si="1"/>
        <v>-5.5086385642210911E-2</v>
      </c>
      <c r="Q21" s="37" t="s">
        <v>32</v>
      </c>
    </row>
    <row r="22" spans="1:17">
      <c r="A22" s="37" t="s">
        <v>33</v>
      </c>
      <c r="B22" s="9">
        <v>7047.05</v>
      </c>
      <c r="C22" s="10">
        <v>25350.14</v>
      </c>
      <c r="D22" s="10">
        <v>6416.25</v>
      </c>
      <c r="E22" s="10">
        <v>7984.73</v>
      </c>
      <c r="F22" s="10">
        <v>22088.76</v>
      </c>
      <c r="G22" s="10">
        <v>10630.01</v>
      </c>
      <c r="H22" s="10">
        <v>7339.77</v>
      </c>
      <c r="I22" s="10">
        <v>28973.83</v>
      </c>
      <c r="J22" s="10">
        <v>11694.82</v>
      </c>
      <c r="K22" s="10">
        <v>7995.98</v>
      </c>
      <c r="L22" s="10">
        <v>28347.01</v>
      </c>
      <c r="M22" s="11">
        <v>13122.91</v>
      </c>
      <c r="N22" s="26">
        <f t="shared" si="0"/>
        <v>176991.26</v>
      </c>
      <c r="O22" s="19">
        <f>SUM('R 2005'!B21:M21)</f>
        <v>155683.43</v>
      </c>
      <c r="P22" s="77">
        <f t="shared" si="1"/>
        <v>0.13686639612192519</v>
      </c>
      <c r="Q22" s="37" t="s">
        <v>33</v>
      </c>
    </row>
    <row r="23" spans="1:17">
      <c r="A23" s="37" t="s">
        <v>34</v>
      </c>
      <c r="B23" s="9">
        <v>51200.76</v>
      </c>
      <c r="C23" s="10">
        <v>189016.32000000001</v>
      </c>
      <c r="D23" s="10">
        <v>181455.59</v>
      </c>
      <c r="E23" s="10">
        <v>165226.79999999999</v>
      </c>
      <c r="F23" s="10">
        <v>262148.77</v>
      </c>
      <c r="G23" s="10">
        <v>90390.88</v>
      </c>
      <c r="H23" s="10">
        <v>56212.13</v>
      </c>
      <c r="I23" s="10">
        <v>116644.08</v>
      </c>
      <c r="J23" s="10">
        <v>120952.93</v>
      </c>
      <c r="K23" s="10">
        <v>95255.86</v>
      </c>
      <c r="L23" s="10">
        <v>131191.9</v>
      </c>
      <c r="M23" s="11">
        <v>59117.86</v>
      </c>
      <c r="N23" s="26">
        <f t="shared" si="0"/>
        <v>1518813.8800000001</v>
      </c>
      <c r="O23" s="19">
        <f>SUM('R 2005'!B22:M22)</f>
        <v>1322785.42</v>
      </c>
      <c r="P23" s="77">
        <f t="shared" si="1"/>
        <v>0.1481936956940455</v>
      </c>
      <c r="Q23" s="37" t="s">
        <v>34</v>
      </c>
    </row>
    <row r="24" spans="1:17">
      <c r="A24" s="37" t="s">
        <v>35</v>
      </c>
      <c r="B24" s="9">
        <v>21140.69</v>
      </c>
      <c r="C24" s="10">
        <v>39316.21</v>
      </c>
      <c r="D24" s="10">
        <v>21741.85</v>
      </c>
      <c r="E24" s="10">
        <v>21256.05</v>
      </c>
      <c r="F24" s="10">
        <v>40288.35</v>
      </c>
      <c r="G24" s="10">
        <v>24776.02</v>
      </c>
      <c r="H24" s="10">
        <v>22562.75</v>
      </c>
      <c r="I24" s="10">
        <v>44840.04</v>
      </c>
      <c r="J24" s="10">
        <v>24081.85</v>
      </c>
      <c r="K24" s="10">
        <v>24329.3</v>
      </c>
      <c r="L24" s="10">
        <v>46075.66</v>
      </c>
      <c r="M24" s="11">
        <v>25056.66</v>
      </c>
      <c r="N24" s="26">
        <f t="shared" si="0"/>
        <v>355465.43</v>
      </c>
      <c r="O24" s="19">
        <f>SUM('R 2005'!B23:M23)</f>
        <v>318089.96999999997</v>
      </c>
      <c r="P24" s="77">
        <f t="shared" si="1"/>
        <v>0.11749964954883674</v>
      </c>
      <c r="Q24" s="37" t="s">
        <v>35</v>
      </c>
    </row>
    <row r="25" spans="1:17">
      <c r="A25" s="37" t="s">
        <v>36</v>
      </c>
      <c r="B25" s="9">
        <v>15316.26</v>
      </c>
      <c r="C25" s="10">
        <v>30904.46</v>
      </c>
      <c r="D25" s="10">
        <v>14813.79</v>
      </c>
      <c r="E25" s="10">
        <v>13303.74</v>
      </c>
      <c r="F25" s="10">
        <v>31524.83</v>
      </c>
      <c r="G25" s="10">
        <v>18259.259999999998</v>
      </c>
      <c r="H25" s="10">
        <v>15485.81</v>
      </c>
      <c r="I25" s="10">
        <v>35055.08</v>
      </c>
      <c r="J25" s="10">
        <v>20821.009999999998</v>
      </c>
      <c r="K25" s="10">
        <v>14972.7</v>
      </c>
      <c r="L25" s="10">
        <v>37136.82</v>
      </c>
      <c r="M25" s="11">
        <v>19400.78</v>
      </c>
      <c r="N25" s="26">
        <f t="shared" si="0"/>
        <v>266994.54000000004</v>
      </c>
      <c r="O25" s="19">
        <f>SUM('R 2005'!B24:M24)</f>
        <v>236953.57</v>
      </c>
      <c r="P25" s="77">
        <f t="shared" si="1"/>
        <v>0.12677998478773733</v>
      </c>
      <c r="Q25" s="37" t="s">
        <v>36</v>
      </c>
    </row>
    <row r="26" spans="1:17">
      <c r="A26" s="37" t="s">
        <v>37</v>
      </c>
      <c r="B26" s="9">
        <v>236503.31</v>
      </c>
      <c r="C26" s="10">
        <v>346510.23</v>
      </c>
      <c r="D26" s="10">
        <v>225602.03</v>
      </c>
      <c r="E26" s="10">
        <v>203352.37</v>
      </c>
      <c r="F26" s="10">
        <v>302816.56</v>
      </c>
      <c r="G26" s="10">
        <v>205370.28</v>
      </c>
      <c r="H26" s="10">
        <v>203115.47</v>
      </c>
      <c r="I26" s="10">
        <v>324722.17</v>
      </c>
      <c r="J26" s="10">
        <v>211865.44</v>
      </c>
      <c r="K26" s="10">
        <v>216390.86</v>
      </c>
      <c r="L26" s="10">
        <v>311376.28999999998</v>
      </c>
      <c r="M26" s="11">
        <v>256989.72</v>
      </c>
      <c r="N26" s="26">
        <f t="shared" si="0"/>
        <v>3044614.73</v>
      </c>
      <c r="O26" s="19">
        <f>SUM('R 2005'!B25:M25)</f>
        <v>3288129.8400000003</v>
      </c>
      <c r="P26" s="77">
        <f t="shared" si="1"/>
        <v>-7.405884860069889E-2</v>
      </c>
      <c r="Q26" s="37" t="s">
        <v>37</v>
      </c>
    </row>
    <row r="27" spans="1:17">
      <c r="A27" s="37" t="s">
        <v>38</v>
      </c>
      <c r="B27" s="9">
        <v>10641.31</v>
      </c>
      <c r="C27" s="10">
        <v>21541.599999999999</v>
      </c>
      <c r="D27" s="10">
        <v>12676.14</v>
      </c>
      <c r="E27" s="10">
        <v>12265.15</v>
      </c>
      <c r="F27" s="10">
        <v>22911.82</v>
      </c>
      <c r="G27" s="10">
        <v>12608.66</v>
      </c>
      <c r="H27" s="10">
        <v>14052.37</v>
      </c>
      <c r="I27" s="10">
        <v>30541.3</v>
      </c>
      <c r="J27" s="10">
        <v>22090.69</v>
      </c>
      <c r="K27" s="10">
        <v>21467.42</v>
      </c>
      <c r="L27" s="10">
        <v>37620.199999999997</v>
      </c>
      <c r="M27" s="11">
        <v>16283.83</v>
      </c>
      <c r="N27" s="26">
        <f t="shared" si="0"/>
        <v>234700.48999999996</v>
      </c>
      <c r="O27" s="19">
        <f>SUM('R 2005'!B26:M26)</f>
        <v>206081.09999999998</v>
      </c>
      <c r="P27" s="77">
        <f t="shared" si="1"/>
        <v>0.13887440430005471</v>
      </c>
      <c r="Q27" s="37" t="s">
        <v>38</v>
      </c>
    </row>
    <row r="28" spans="1:17">
      <c r="A28" s="37" t="s">
        <v>39</v>
      </c>
      <c r="B28" s="9">
        <v>92789.54</v>
      </c>
      <c r="C28" s="10">
        <v>164144.89000000001</v>
      </c>
      <c r="D28" s="10">
        <v>100881.47</v>
      </c>
      <c r="E28" s="10">
        <v>111189.33</v>
      </c>
      <c r="F28" s="10">
        <v>183559.67</v>
      </c>
      <c r="G28" s="10">
        <v>129022.28</v>
      </c>
      <c r="H28" s="10">
        <v>110826.18</v>
      </c>
      <c r="I28" s="10">
        <v>190757.2</v>
      </c>
      <c r="J28" s="10">
        <v>118379.06</v>
      </c>
      <c r="K28" s="10">
        <v>118233.44</v>
      </c>
      <c r="L28" s="10">
        <v>185214.58</v>
      </c>
      <c r="M28" s="11">
        <v>159937.31</v>
      </c>
      <c r="N28" s="26">
        <f t="shared" si="0"/>
        <v>1664934.9500000002</v>
      </c>
      <c r="O28" s="19">
        <f>SUM('R 2005'!B27:M27)</f>
        <v>1455535.01</v>
      </c>
      <c r="P28" s="77">
        <f t="shared" si="1"/>
        <v>0.14386458488552623</v>
      </c>
      <c r="Q28" s="37" t="s">
        <v>39</v>
      </c>
    </row>
    <row r="29" spans="1:17">
      <c r="A29" s="37" t="s">
        <v>40</v>
      </c>
      <c r="B29" s="9">
        <v>116.98</v>
      </c>
      <c r="C29" s="10">
        <v>3214.47</v>
      </c>
      <c r="D29" s="10">
        <v>65.069999999999993</v>
      </c>
      <c r="E29" s="10">
        <v>640.82000000000005</v>
      </c>
      <c r="F29" s="10">
        <v>3053.63</v>
      </c>
      <c r="G29" s="10">
        <v>482.55</v>
      </c>
      <c r="H29" s="10">
        <v>1363.06</v>
      </c>
      <c r="I29" s="10">
        <v>9567.5300000000007</v>
      </c>
      <c r="J29" s="10">
        <v>1708.64</v>
      </c>
      <c r="K29" s="10">
        <v>1452.84</v>
      </c>
      <c r="L29" s="10">
        <v>12275.65</v>
      </c>
      <c r="M29" s="11">
        <v>549.79999999999995</v>
      </c>
      <c r="N29" s="26">
        <f t="shared" si="0"/>
        <v>34491.040000000001</v>
      </c>
      <c r="O29" s="19">
        <f>SUM('R 2005'!B28:M28)</f>
        <v>35007.68</v>
      </c>
      <c r="P29" s="77">
        <f t="shared" si="1"/>
        <v>-1.4757904551229939E-2</v>
      </c>
      <c r="Q29" s="37" t="s">
        <v>40</v>
      </c>
    </row>
    <row r="30" spans="1:17" ht="13" thickBot="1">
      <c r="A30" s="38" t="s">
        <v>41</v>
      </c>
      <c r="B30" s="12">
        <v>135531.24</v>
      </c>
      <c r="C30" s="13">
        <v>228048.13</v>
      </c>
      <c r="D30" s="13">
        <v>135030.01999999999</v>
      </c>
      <c r="E30" s="13">
        <v>138806.84</v>
      </c>
      <c r="F30" s="13">
        <v>234277.5</v>
      </c>
      <c r="G30" s="13">
        <v>137909.01</v>
      </c>
      <c r="H30" s="13">
        <v>139922.57999999999</v>
      </c>
      <c r="I30" s="13">
        <v>232458.11</v>
      </c>
      <c r="J30" s="13">
        <v>151866.09</v>
      </c>
      <c r="K30" s="13">
        <v>140734.57999999999</v>
      </c>
      <c r="L30" s="13">
        <v>245476</v>
      </c>
      <c r="M30" s="14">
        <v>161712.15</v>
      </c>
      <c r="N30" s="27">
        <f t="shared" si="0"/>
        <v>2081772.2500000002</v>
      </c>
      <c r="O30" s="19">
        <f>SUM('R 2005'!B29:M29)</f>
        <v>1861437.6099999999</v>
      </c>
      <c r="P30" s="78">
        <f>N30/O30-1</f>
        <v>0.11836799622846361</v>
      </c>
      <c r="Q30" s="38" t="s">
        <v>41</v>
      </c>
    </row>
    <row r="31" spans="1:17" s="154" customFormat="1" ht="14" thickTop="1" thickBot="1">
      <c r="A31" s="142" t="s">
        <v>0</v>
      </c>
      <c r="B31" s="174">
        <f>SUM(B4:B30)</f>
        <v>1866930.3</v>
      </c>
      <c r="C31" s="175">
        <f t="shared" ref="C31:M31" si="2">SUM(C4:C30)</f>
        <v>3016248.7600000002</v>
      </c>
      <c r="D31" s="175">
        <f>SUM(D4:D30)</f>
        <v>2049437.7800000003</v>
      </c>
      <c r="E31" s="175">
        <f t="shared" si="2"/>
        <v>1992053.9000000004</v>
      </c>
      <c r="F31" s="175">
        <f t="shared" si="2"/>
        <v>3264548.88</v>
      </c>
      <c r="G31" s="175">
        <f t="shared" si="2"/>
        <v>2024081.27</v>
      </c>
      <c r="H31" s="175">
        <f t="shared" si="2"/>
        <v>1883104.9000000001</v>
      </c>
      <c r="I31" s="175">
        <f t="shared" si="2"/>
        <v>3176254.81</v>
      </c>
      <c r="J31" s="175">
        <f t="shared" si="2"/>
        <v>2178062.08</v>
      </c>
      <c r="K31" s="175">
        <f t="shared" si="2"/>
        <v>2090129.0599999998</v>
      </c>
      <c r="L31" s="175">
        <f t="shared" si="2"/>
        <v>3207086.09</v>
      </c>
      <c r="M31" s="176">
        <f t="shared" si="2"/>
        <v>2245301.9200000004</v>
      </c>
      <c r="N31" s="179">
        <f>SUM(N4:N30)</f>
        <v>28993239.749999996</v>
      </c>
      <c r="O31" s="168">
        <f>SUM('R 2005'!B30:M30)</f>
        <v>26722640.670000002</v>
      </c>
      <c r="P31" s="178">
        <f>N31/O31-1</f>
        <v>8.4969113196551316E-2</v>
      </c>
      <c r="Q31" s="142" t="s">
        <v>0</v>
      </c>
    </row>
    <row r="32" spans="1:17">
      <c r="B32" s="28">
        <f>B31/'R 2005'!B30-1</f>
        <v>0.21377236154314305</v>
      </c>
      <c r="C32" s="28">
        <f>C31/'R 2005'!C30-1</f>
        <v>4.5223133910522462E-2</v>
      </c>
      <c r="D32" s="28">
        <f>D31/'R 2005'!D30-1</f>
        <v>0.11527528381883201</v>
      </c>
      <c r="E32" s="28">
        <f>E31/'R 2005'!E30-1</f>
        <v>-2.952863737220901E-2</v>
      </c>
      <c r="F32" s="28">
        <f>F31/'R 2005'!F30-1</f>
        <v>0.28107604475582981</v>
      </c>
      <c r="G32" s="28">
        <f>G31/'R 2005'!G30-1</f>
        <v>-7.4830035298067754E-2</v>
      </c>
      <c r="H32" s="28">
        <f>H31/'R 2005'!H30-1</f>
        <v>6.1453792777995453E-2</v>
      </c>
      <c r="I32" s="28">
        <f>I31/'R 2005'!I30-1</f>
        <v>6.2414169942794251E-2</v>
      </c>
      <c r="J32" s="28">
        <f>J31/'R 2005'!J30-1</f>
        <v>2.8303589492586934E-2</v>
      </c>
      <c r="K32" s="28">
        <f>K31/'R 2005'!K30-1</f>
        <v>7.9010285291132965E-2</v>
      </c>
      <c r="L32" s="28">
        <f>L31/'R 2005'!L30-1</f>
        <v>0.16790742605054754</v>
      </c>
      <c r="M32" s="28">
        <f>M31/'R 2005'!M30-1</f>
        <v>6.5397975032878364E-2</v>
      </c>
      <c r="N32" s="28"/>
    </row>
    <row r="35" spans="2:10">
      <c r="B35" s="100"/>
      <c r="J35" s="100"/>
    </row>
  </sheetData>
  <mergeCells count="1">
    <mergeCell ref="A1:P1"/>
  </mergeCells>
  <phoneticPr fontId="0" type="noConversion"/>
  <pageMargins left="0" right="0" top="1" bottom="1" header="0.5" footer="0.5"/>
  <pageSetup scale="81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tabColor rgb="FFFFFF00"/>
    <pageSetUpPr fitToPage="1"/>
  </sheetPr>
  <dimension ref="A1:Q34"/>
  <sheetViews>
    <sheetView workbookViewId="0">
      <selection activeCell="H31" sqref="H31"/>
    </sheetView>
  </sheetViews>
  <sheetFormatPr baseColWidth="10" defaultColWidth="8.83203125" defaultRowHeight="12" x14ac:dyDescent="0"/>
  <cols>
    <col min="8" max="8" width="11.1640625" bestFit="1" customWidth="1"/>
    <col min="14" max="15" width="9.5" bestFit="1" customWidth="1"/>
  </cols>
  <sheetData>
    <row r="1" spans="1:17" ht="21">
      <c r="A1" s="691" t="s">
        <v>72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17" ht="13" thickBo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3" thickBot="1">
      <c r="A3" s="5" t="s">
        <v>42</v>
      </c>
      <c r="B3" s="7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8" t="s">
        <v>13</v>
      </c>
      <c r="N3" s="25" t="s">
        <v>73</v>
      </c>
      <c r="O3" s="6" t="s">
        <v>63</v>
      </c>
      <c r="P3" s="18" t="s">
        <v>16</v>
      </c>
      <c r="Q3" s="5" t="s">
        <v>42</v>
      </c>
    </row>
    <row r="4" spans="1:17">
      <c r="A4" s="37" t="s">
        <v>17</v>
      </c>
      <c r="B4" s="9">
        <v>2464.19</v>
      </c>
      <c r="C4" s="10">
        <v>10347.969999999999</v>
      </c>
      <c r="D4" s="10">
        <v>5149.2</v>
      </c>
      <c r="E4" s="10">
        <v>2268.13</v>
      </c>
      <c r="F4" s="10">
        <v>9534.19</v>
      </c>
      <c r="G4" s="10">
        <v>2631.02</v>
      </c>
      <c r="H4" s="10">
        <v>2455.9</v>
      </c>
      <c r="I4" s="10">
        <v>14256.12</v>
      </c>
      <c r="J4" s="10">
        <v>3837.23</v>
      </c>
      <c r="K4" s="10">
        <v>2167.7800000000002</v>
      </c>
      <c r="L4" s="10">
        <v>11246.21</v>
      </c>
      <c r="M4" s="11">
        <v>5090.43</v>
      </c>
      <c r="N4" s="26">
        <f>SUM(B4:M4)</f>
        <v>71448.37</v>
      </c>
      <c r="O4" s="101">
        <v>58169</v>
      </c>
      <c r="P4" s="105">
        <f>N4/O4-1</f>
        <v>0.22828946689817586</v>
      </c>
      <c r="Q4" s="37" t="s">
        <v>17</v>
      </c>
    </row>
    <row r="5" spans="1:17">
      <c r="A5" s="37" t="s">
        <v>18</v>
      </c>
      <c r="B5" s="9">
        <v>16913.509999999998</v>
      </c>
      <c r="C5" s="10">
        <v>38005.32</v>
      </c>
      <c r="D5" s="10">
        <v>16698.82</v>
      </c>
      <c r="E5" s="10">
        <v>19955.36</v>
      </c>
      <c r="F5" s="10">
        <v>32719.13</v>
      </c>
      <c r="G5" s="10">
        <v>23639.95</v>
      </c>
      <c r="H5" s="10">
        <v>19157.669999999998</v>
      </c>
      <c r="I5" s="10">
        <v>39733.360000000001</v>
      </c>
      <c r="J5" s="10">
        <v>24916.91</v>
      </c>
      <c r="K5" s="10">
        <v>22475.71</v>
      </c>
      <c r="L5" s="10">
        <v>38658.449999999997</v>
      </c>
      <c r="M5" s="11">
        <v>21983.09</v>
      </c>
      <c r="N5" s="26">
        <f t="shared" ref="N5:N29" si="0">SUM(B5:M5)</f>
        <v>314857.28000000003</v>
      </c>
      <c r="O5" s="102">
        <v>302345</v>
      </c>
      <c r="P5" s="22">
        <f t="shared" ref="P5:P28" si="1">N5/O5-1</f>
        <v>4.1384114174205067E-2</v>
      </c>
      <c r="Q5" s="37" t="s">
        <v>18</v>
      </c>
    </row>
    <row r="6" spans="1:17">
      <c r="A6" s="37" t="s">
        <v>19</v>
      </c>
      <c r="B6" s="9">
        <v>44561.27</v>
      </c>
      <c r="C6" s="10">
        <v>85205.85</v>
      </c>
      <c r="D6" s="10">
        <v>74692.72</v>
      </c>
      <c r="E6" s="10">
        <v>55589.52</v>
      </c>
      <c r="F6" s="10">
        <v>76491.08</v>
      </c>
      <c r="G6" s="10">
        <v>65937.149999999994</v>
      </c>
      <c r="H6" s="10">
        <v>49332.639999999999</v>
      </c>
      <c r="I6" s="10">
        <v>93359.039999999994</v>
      </c>
      <c r="J6" s="10">
        <v>53543</v>
      </c>
      <c r="K6" s="10">
        <v>57985.97</v>
      </c>
      <c r="L6" s="10">
        <v>93659.34</v>
      </c>
      <c r="M6" s="11">
        <v>50247.18</v>
      </c>
      <c r="N6" s="26">
        <f t="shared" si="0"/>
        <v>800604.76</v>
      </c>
      <c r="O6" s="102">
        <v>741170</v>
      </c>
      <c r="P6" s="22">
        <f t="shared" si="1"/>
        <v>8.0190455630961832E-2</v>
      </c>
      <c r="Q6" s="37" t="s">
        <v>19</v>
      </c>
    </row>
    <row r="7" spans="1:17">
      <c r="A7" s="37" t="s">
        <v>20</v>
      </c>
      <c r="B7" s="9">
        <v>9003.6200000000008</v>
      </c>
      <c r="C7" s="10">
        <v>18416.5</v>
      </c>
      <c r="D7" s="10">
        <v>7349.06</v>
      </c>
      <c r="E7" s="10">
        <v>11933.61</v>
      </c>
      <c r="F7" s="10">
        <v>19858.64</v>
      </c>
      <c r="G7" s="10">
        <v>13212.69</v>
      </c>
      <c r="H7" s="10">
        <v>10644.03</v>
      </c>
      <c r="I7" s="10">
        <v>26402.66</v>
      </c>
      <c r="J7" s="10">
        <v>11769.85</v>
      </c>
      <c r="K7" s="10">
        <v>11016.07</v>
      </c>
      <c r="L7" s="10">
        <v>23745.31</v>
      </c>
      <c r="M7" s="11">
        <v>12937.17</v>
      </c>
      <c r="N7" s="26">
        <f t="shared" si="0"/>
        <v>176289.21000000002</v>
      </c>
      <c r="O7" s="102">
        <v>160013</v>
      </c>
      <c r="P7" s="22">
        <f t="shared" si="1"/>
        <v>0.1017180479086075</v>
      </c>
      <c r="Q7" s="37" t="s">
        <v>20</v>
      </c>
    </row>
    <row r="8" spans="1:17">
      <c r="A8" s="37" t="s">
        <v>21</v>
      </c>
      <c r="B8" s="9">
        <v>231.64</v>
      </c>
      <c r="C8" s="10">
        <v>645.67999999999995</v>
      </c>
      <c r="D8" s="10">
        <v>1035.25</v>
      </c>
      <c r="E8" s="10">
        <v>0</v>
      </c>
      <c r="F8" s="10">
        <v>0</v>
      </c>
      <c r="G8" s="10">
        <v>341.57</v>
      </c>
      <c r="H8" s="10">
        <v>4283.87</v>
      </c>
      <c r="I8" s="10">
        <v>2687.42</v>
      </c>
      <c r="J8" s="10">
        <v>1825.75</v>
      </c>
      <c r="K8" s="10">
        <v>555.6</v>
      </c>
      <c r="L8" s="10">
        <v>2800.3</v>
      </c>
      <c r="M8" s="11">
        <v>155.9</v>
      </c>
      <c r="N8" s="26">
        <f t="shared" si="0"/>
        <v>14562.980000000001</v>
      </c>
      <c r="O8" s="102">
        <v>15158</v>
      </c>
      <c r="P8" s="22">
        <f t="shared" si="1"/>
        <v>-3.9254519065839766E-2</v>
      </c>
      <c r="Q8" s="37" t="s">
        <v>21</v>
      </c>
    </row>
    <row r="9" spans="1:17">
      <c r="A9" s="37" t="s">
        <v>22</v>
      </c>
      <c r="B9" s="9">
        <v>126600.95</v>
      </c>
      <c r="C9" s="10">
        <v>232233.9</v>
      </c>
      <c r="D9" s="10">
        <v>126237.02</v>
      </c>
      <c r="E9" s="10">
        <v>184112.16</v>
      </c>
      <c r="F9" s="10">
        <v>173638.14</v>
      </c>
      <c r="G9" s="10">
        <v>188129.22</v>
      </c>
      <c r="H9" s="10">
        <v>156961.34</v>
      </c>
      <c r="I9" s="10">
        <v>246267.75</v>
      </c>
      <c r="J9" s="10">
        <v>195737.96</v>
      </c>
      <c r="K9" s="10">
        <v>167816.18</v>
      </c>
      <c r="L9" s="10">
        <v>215234.87</v>
      </c>
      <c r="M9" s="11">
        <v>189418.97</v>
      </c>
      <c r="N9" s="26">
        <f t="shared" si="0"/>
        <v>2202388.46</v>
      </c>
      <c r="O9" s="102">
        <v>2024873</v>
      </c>
      <c r="P9" s="22">
        <f t="shared" si="1"/>
        <v>8.7667453711911758E-2</v>
      </c>
      <c r="Q9" s="37" t="s">
        <v>22</v>
      </c>
    </row>
    <row r="10" spans="1:17">
      <c r="A10" s="37" t="s">
        <v>23</v>
      </c>
      <c r="B10" s="9">
        <v>4920.7700000000004</v>
      </c>
      <c r="C10" s="10">
        <v>12527.64</v>
      </c>
      <c r="D10" s="10">
        <v>5577.26</v>
      </c>
      <c r="E10" s="10">
        <v>715.13</v>
      </c>
      <c r="F10" s="10">
        <v>11147.64</v>
      </c>
      <c r="G10" s="10">
        <v>4449.8</v>
      </c>
      <c r="H10" s="10">
        <v>4570.26</v>
      </c>
      <c r="I10" s="10">
        <v>14575.5</v>
      </c>
      <c r="J10" s="10">
        <v>5215.25</v>
      </c>
      <c r="K10" s="10">
        <v>5289.38</v>
      </c>
      <c r="L10" s="10">
        <v>12767.89</v>
      </c>
      <c r="M10" s="11">
        <v>6229.34</v>
      </c>
      <c r="N10" s="26">
        <f t="shared" si="0"/>
        <v>87985.86</v>
      </c>
      <c r="O10" s="102">
        <v>79718</v>
      </c>
      <c r="P10" s="22">
        <f t="shared" si="1"/>
        <v>0.10371384129054917</v>
      </c>
      <c r="Q10" s="37" t="s">
        <v>23</v>
      </c>
    </row>
    <row r="11" spans="1:17">
      <c r="A11" s="37" t="s">
        <v>24</v>
      </c>
      <c r="B11" s="9">
        <v>2675.29</v>
      </c>
      <c r="C11" s="10">
        <v>7586.93</v>
      </c>
      <c r="D11" s="10">
        <v>1190.1300000000001</v>
      </c>
      <c r="E11" s="10">
        <v>1988.04</v>
      </c>
      <c r="F11" s="10">
        <v>6395.97</v>
      </c>
      <c r="G11" s="10">
        <v>7495.52</v>
      </c>
      <c r="H11" s="10">
        <v>13609.31</v>
      </c>
      <c r="I11" s="10">
        <v>27229.91</v>
      </c>
      <c r="J11" s="10">
        <v>15251.03</v>
      </c>
      <c r="K11" s="10">
        <v>16878.2</v>
      </c>
      <c r="L11" s="10">
        <v>30928.080000000002</v>
      </c>
      <c r="M11" s="11">
        <v>12073.09</v>
      </c>
      <c r="N11" s="26">
        <f t="shared" si="0"/>
        <v>143301.5</v>
      </c>
      <c r="O11" s="102">
        <v>130521</v>
      </c>
      <c r="P11" s="22">
        <f t="shared" si="1"/>
        <v>9.7919108802414945E-2</v>
      </c>
      <c r="Q11" s="37" t="s">
        <v>24</v>
      </c>
    </row>
    <row r="12" spans="1:17">
      <c r="A12" s="37" t="s">
        <v>25</v>
      </c>
      <c r="B12" s="9">
        <v>8563.9</v>
      </c>
      <c r="C12" s="10">
        <v>17132.11</v>
      </c>
      <c r="D12" s="10">
        <v>8015.92</v>
      </c>
      <c r="E12" s="10">
        <v>0</v>
      </c>
      <c r="F12" s="10">
        <v>21558.35</v>
      </c>
      <c r="G12" s="10">
        <v>20031.16</v>
      </c>
      <c r="H12" s="10">
        <v>25698.85</v>
      </c>
      <c r="I12" s="10">
        <v>44144.67</v>
      </c>
      <c r="J12" s="10">
        <v>25620.11</v>
      </c>
      <c r="K12" s="10">
        <v>20682.96</v>
      </c>
      <c r="L12" s="10">
        <v>35711.730000000003</v>
      </c>
      <c r="M12" s="11">
        <v>24947.79</v>
      </c>
      <c r="N12" s="26">
        <f t="shared" si="0"/>
        <v>252107.55000000002</v>
      </c>
      <c r="O12" s="102">
        <v>230960</v>
      </c>
      <c r="P12" s="22">
        <f t="shared" si="1"/>
        <v>9.1563690682369359E-2</v>
      </c>
      <c r="Q12" s="37" t="s">
        <v>25</v>
      </c>
    </row>
    <row r="13" spans="1:17">
      <c r="A13" s="37" t="s">
        <v>26</v>
      </c>
      <c r="B13" s="9">
        <v>18586</v>
      </c>
      <c r="C13" s="10">
        <v>50051.41</v>
      </c>
      <c r="D13" s="10">
        <v>23177.64</v>
      </c>
      <c r="E13" s="10">
        <v>31205.65</v>
      </c>
      <c r="F13" s="10">
        <v>42949.68</v>
      </c>
      <c r="G13" s="10">
        <v>27946.98</v>
      </c>
      <c r="H13" s="10">
        <v>20482.009999999998</v>
      </c>
      <c r="I13" s="10">
        <v>47797.18</v>
      </c>
      <c r="J13" s="10">
        <v>35840.97</v>
      </c>
      <c r="K13" s="10">
        <v>27859.41</v>
      </c>
      <c r="L13" s="10">
        <v>54332.1</v>
      </c>
      <c r="M13" s="11">
        <v>27147.52</v>
      </c>
      <c r="N13" s="26">
        <f t="shared" si="0"/>
        <v>407376.55</v>
      </c>
      <c r="O13" s="102">
        <v>368915</v>
      </c>
      <c r="P13" s="22">
        <f t="shared" si="1"/>
        <v>0.10425585839556528</v>
      </c>
      <c r="Q13" s="37" t="s">
        <v>26</v>
      </c>
    </row>
    <row r="14" spans="1:17">
      <c r="A14" s="37" t="s">
        <v>27</v>
      </c>
      <c r="B14" s="9">
        <v>4708.51</v>
      </c>
      <c r="C14" s="10">
        <v>8469.25</v>
      </c>
      <c r="D14" s="10">
        <v>4355.1000000000004</v>
      </c>
      <c r="E14" s="10">
        <v>4409.43</v>
      </c>
      <c r="F14" s="10">
        <v>7665.82</v>
      </c>
      <c r="G14" s="10">
        <v>6448.5</v>
      </c>
      <c r="H14" s="10">
        <v>5538.07</v>
      </c>
      <c r="I14" s="10">
        <v>8661.7000000000007</v>
      </c>
      <c r="J14" s="10">
        <v>8440.73</v>
      </c>
      <c r="K14" s="10">
        <v>5863.9</v>
      </c>
      <c r="L14" s="10">
        <v>9578.98</v>
      </c>
      <c r="M14" s="11">
        <v>6650.31</v>
      </c>
      <c r="N14" s="26">
        <f t="shared" si="0"/>
        <v>80790.3</v>
      </c>
      <c r="O14" s="102">
        <v>80481</v>
      </c>
      <c r="P14" s="22">
        <f t="shared" si="1"/>
        <v>3.8431431020986562E-3</v>
      </c>
      <c r="Q14" s="37" t="s">
        <v>27</v>
      </c>
    </row>
    <row r="15" spans="1:17">
      <c r="A15" s="37" t="s">
        <v>28</v>
      </c>
      <c r="B15" s="9">
        <v>3809.5</v>
      </c>
      <c r="C15" s="10">
        <v>7985.31</v>
      </c>
      <c r="D15" s="10">
        <v>2285.42</v>
      </c>
      <c r="E15" s="10">
        <v>1045.8800000000001</v>
      </c>
      <c r="F15" s="10">
        <v>7124.75</v>
      </c>
      <c r="G15" s="10">
        <v>3654.41</v>
      </c>
      <c r="H15" s="10">
        <v>8048.19</v>
      </c>
      <c r="I15" s="10">
        <v>18715.3</v>
      </c>
      <c r="J15" s="10">
        <v>6409.63</v>
      </c>
      <c r="K15" s="10">
        <v>8273.9699999999993</v>
      </c>
      <c r="L15" s="10">
        <v>22311.08</v>
      </c>
      <c r="M15" s="11">
        <v>4680.6000000000004</v>
      </c>
      <c r="N15" s="26">
        <f t="shared" si="0"/>
        <v>94344.04</v>
      </c>
      <c r="O15" s="102">
        <v>86877</v>
      </c>
      <c r="P15" s="22">
        <f t="shared" si="1"/>
        <v>8.5949560873418651E-2</v>
      </c>
      <c r="Q15" s="37" t="s">
        <v>28</v>
      </c>
    </row>
    <row r="16" spans="1:17">
      <c r="A16" s="37" t="s">
        <v>29</v>
      </c>
      <c r="B16" s="9">
        <v>796.64</v>
      </c>
      <c r="C16" s="10">
        <v>4322.25</v>
      </c>
      <c r="D16" s="10">
        <v>542.77</v>
      </c>
      <c r="E16" s="10">
        <v>460.31</v>
      </c>
      <c r="F16" s="10">
        <v>3915.77</v>
      </c>
      <c r="G16" s="10">
        <v>743.6</v>
      </c>
      <c r="H16" s="10">
        <v>1668.8</v>
      </c>
      <c r="I16" s="10">
        <v>5855.29</v>
      </c>
      <c r="J16" s="10">
        <v>718.19</v>
      </c>
      <c r="K16" s="10">
        <v>915.08</v>
      </c>
      <c r="L16" s="10">
        <v>5875.75</v>
      </c>
      <c r="M16" s="11">
        <v>1826.24</v>
      </c>
      <c r="N16" s="26">
        <f t="shared" si="0"/>
        <v>27640.690000000002</v>
      </c>
      <c r="O16" s="102">
        <v>27034</v>
      </c>
      <c r="P16" s="22">
        <f t="shared" si="1"/>
        <v>2.2441740031072133E-2</v>
      </c>
      <c r="Q16" s="37" t="s">
        <v>29</v>
      </c>
    </row>
    <row r="17" spans="1:17">
      <c r="A17" s="37" t="s">
        <v>30</v>
      </c>
      <c r="B17" s="9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1">
        <v>0</v>
      </c>
      <c r="N17" s="26">
        <f t="shared" si="0"/>
        <v>0</v>
      </c>
      <c r="O17" s="102">
        <v>-61557</v>
      </c>
      <c r="P17" s="22">
        <f t="shared" si="1"/>
        <v>-1</v>
      </c>
      <c r="Q17" s="37" t="s">
        <v>30</v>
      </c>
    </row>
    <row r="18" spans="1:17">
      <c r="A18" s="37" t="s">
        <v>31</v>
      </c>
      <c r="B18" s="9">
        <v>783007.11</v>
      </c>
      <c r="C18" s="10">
        <v>1420825.28</v>
      </c>
      <c r="D18" s="10">
        <v>901017.09</v>
      </c>
      <c r="E18" s="10">
        <v>1029291.44</v>
      </c>
      <c r="F18" s="10">
        <v>1181584.19</v>
      </c>
      <c r="G18" s="10">
        <v>1150686.17</v>
      </c>
      <c r="H18" s="10">
        <v>875112.07</v>
      </c>
      <c r="I18" s="10">
        <v>1457888.67</v>
      </c>
      <c r="J18" s="10">
        <v>1030392.07</v>
      </c>
      <c r="K18" s="10">
        <v>948141.15</v>
      </c>
      <c r="L18" s="10">
        <v>1247014.5</v>
      </c>
      <c r="M18" s="11">
        <v>1061904.95</v>
      </c>
      <c r="N18" s="26">
        <f t="shared" si="0"/>
        <v>13086864.689999999</v>
      </c>
      <c r="O18" s="102">
        <v>12378768</v>
      </c>
      <c r="P18" s="22">
        <f t="shared" si="1"/>
        <v>5.7202517245658058E-2</v>
      </c>
      <c r="Q18" s="37" t="s">
        <v>31</v>
      </c>
    </row>
    <row r="19" spans="1:17">
      <c r="A19" s="37" t="s">
        <v>45</v>
      </c>
      <c r="B19" s="9">
        <v>0</v>
      </c>
      <c r="C19" s="10"/>
      <c r="D19" s="10"/>
      <c r="E19" s="10">
        <v>0</v>
      </c>
      <c r="F19" s="10"/>
      <c r="G19" s="10">
        <v>0</v>
      </c>
      <c r="H19" s="10">
        <v>0</v>
      </c>
      <c r="I19" s="10">
        <v>0</v>
      </c>
      <c r="J19" s="10">
        <v>0</v>
      </c>
      <c r="K19" s="10"/>
      <c r="L19" s="10"/>
      <c r="M19" s="11"/>
      <c r="N19" s="26">
        <f t="shared" si="0"/>
        <v>0</v>
      </c>
      <c r="O19" s="102"/>
      <c r="P19" s="22" t="s">
        <v>46</v>
      </c>
      <c r="Q19" s="37" t="s">
        <v>45</v>
      </c>
    </row>
    <row r="20" spans="1:17">
      <c r="A20" s="37" t="s">
        <v>32</v>
      </c>
      <c r="B20" s="9">
        <v>2467.5700000000002</v>
      </c>
      <c r="C20" s="10">
        <v>14403.38</v>
      </c>
      <c r="D20" s="10">
        <v>8155.68</v>
      </c>
      <c r="E20" s="10">
        <v>2434.59</v>
      </c>
      <c r="F20" s="10">
        <v>11915.46</v>
      </c>
      <c r="G20" s="10">
        <v>1926.65</v>
      </c>
      <c r="H20" s="10">
        <v>1406.31</v>
      </c>
      <c r="I20" s="10">
        <v>14771.17</v>
      </c>
      <c r="J20" s="10">
        <v>1818.59</v>
      </c>
      <c r="K20" s="10">
        <v>6311.69</v>
      </c>
      <c r="L20" s="10">
        <v>14016.8</v>
      </c>
      <c r="M20" s="11">
        <v>2746.91</v>
      </c>
      <c r="N20" s="26">
        <f t="shared" si="0"/>
        <v>82374.8</v>
      </c>
      <c r="O20" s="102">
        <v>82903</v>
      </c>
      <c r="P20" s="22">
        <f t="shared" si="1"/>
        <v>-6.3713014004318502E-3</v>
      </c>
      <c r="Q20" s="37" t="s">
        <v>32</v>
      </c>
    </row>
    <row r="21" spans="1:17">
      <c r="A21" s="37" t="s">
        <v>33</v>
      </c>
      <c r="B21" s="9">
        <v>5460.61</v>
      </c>
      <c r="C21" s="10">
        <v>22058.51</v>
      </c>
      <c r="D21" s="10">
        <v>8289.2000000000007</v>
      </c>
      <c r="E21" s="10">
        <v>3478.39</v>
      </c>
      <c r="F21" s="10">
        <v>18071.54</v>
      </c>
      <c r="G21" s="10">
        <v>9393.4599999999991</v>
      </c>
      <c r="H21" s="10">
        <v>6740.09</v>
      </c>
      <c r="I21" s="10">
        <v>25949.61</v>
      </c>
      <c r="J21" s="10">
        <v>10642.76</v>
      </c>
      <c r="K21" s="10">
        <v>7972.52</v>
      </c>
      <c r="L21" s="10">
        <v>27816.92</v>
      </c>
      <c r="M21" s="11">
        <v>9809.82</v>
      </c>
      <c r="N21" s="26">
        <f t="shared" si="0"/>
        <v>155683.43</v>
      </c>
      <c r="O21" s="102">
        <v>149263</v>
      </c>
      <c r="P21" s="22">
        <f t="shared" si="1"/>
        <v>4.3014209817570315E-2</v>
      </c>
      <c r="Q21" s="37" t="s">
        <v>33</v>
      </c>
    </row>
    <row r="22" spans="1:17">
      <c r="A22" s="37" t="s">
        <v>34</v>
      </c>
      <c r="B22" s="9">
        <v>39263.9</v>
      </c>
      <c r="C22" s="10">
        <v>157720.57</v>
      </c>
      <c r="D22" s="10">
        <v>151964.4</v>
      </c>
      <c r="E22" s="10">
        <v>140809.19</v>
      </c>
      <c r="F22" s="10">
        <v>233561.24</v>
      </c>
      <c r="G22" s="10">
        <v>93738.57</v>
      </c>
      <c r="H22" s="10">
        <v>42528.480000000003</v>
      </c>
      <c r="I22" s="10">
        <v>104421.58</v>
      </c>
      <c r="J22" s="10">
        <v>92777.3</v>
      </c>
      <c r="K22" s="10">
        <v>90763.86</v>
      </c>
      <c r="L22" s="10">
        <v>112836.45</v>
      </c>
      <c r="M22" s="11">
        <v>62399.88</v>
      </c>
      <c r="N22" s="26">
        <f t="shared" si="0"/>
        <v>1322785.42</v>
      </c>
      <c r="O22" s="102">
        <v>1153892</v>
      </c>
      <c r="P22" s="22">
        <f t="shared" si="1"/>
        <v>0.1463684816256634</v>
      </c>
      <c r="Q22" s="37" t="s">
        <v>34</v>
      </c>
    </row>
    <row r="23" spans="1:17">
      <c r="A23" s="37" t="s">
        <v>35</v>
      </c>
      <c r="B23" s="9">
        <v>30979.97</v>
      </c>
      <c r="C23" s="10">
        <v>26048.28</v>
      </c>
      <c r="D23" s="10">
        <v>20319.91</v>
      </c>
      <c r="E23" s="10">
        <v>32187.58</v>
      </c>
      <c r="F23" s="10">
        <v>36757.53</v>
      </c>
      <c r="G23" s="10">
        <v>11049.61</v>
      </c>
      <c r="H23" s="10">
        <v>18558.37</v>
      </c>
      <c r="I23" s="10">
        <v>39857.9</v>
      </c>
      <c r="J23" s="10">
        <v>23215.58</v>
      </c>
      <c r="K23" s="10">
        <v>20610.86</v>
      </c>
      <c r="L23" s="10">
        <v>36343.760000000002</v>
      </c>
      <c r="M23" s="11">
        <v>22160.62</v>
      </c>
      <c r="N23" s="26">
        <f t="shared" si="0"/>
        <v>318089.96999999997</v>
      </c>
      <c r="O23" s="102">
        <v>258479</v>
      </c>
      <c r="P23" s="22">
        <f t="shared" si="1"/>
        <v>0.23062210082830692</v>
      </c>
      <c r="Q23" s="37" t="s">
        <v>35</v>
      </c>
    </row>
    <row r="24" spans="1:17">
      <c r="A24" s="37" t="s">
        <v>36</v>
      </c>
      <c r="B24" s="9">
        <v>13042.28</v>
      </c>
      <c r="C24" s="10">
        <v>25419.64</v>
      </c>
      <c r="D24" s="10">
        <v>18678.900000000001</v>
      </c>
      <c r="E24" s="10">
        <v>6512.25</v>
      </c>
      <c r="F24" s="10">
        <v>24599.85</v>
      </c>
      <c r="G24" s="10">
        <v>19558.599999999999</v>
      </c>
      <c r="H24" s="10">
        <v>12534.82</v>
      </c>
      <c r="I24" s="10">
        <v>32219.11</v>
      </c>
      <c r="J24" s="10">
        <v>19033.34</v>
      </c>
      <c r="K24" s="10">
        <v>17287.099999999999</v>
      </c>
      <c r="L24" s="10">
        <v>30482.79</v>
      </c>
      <c r="M24" s="11">
        <v>17584.89</v>
      </c>
      <c r="N24" s="26">
        <f t="shared" si="0"/>
        <v>236953.57</v>
      </c>
      <c r="O24" s="102">
        <v>214111</v>
      </c>
      <c r="P24" s="22">
        <f t="shared" si="1"/>
        <v>0.10668564436203654</v>
      </c>
      <c r="Q24" s="37" t="s">
        <v>36</v>
      </c>
    </row>
    <row r="25" spans="1:17">
      <c r="A25" s="37" t="s">
        <v>37</v>
      </c>
      <c r="B25" s="9">
        <v>217987.34</v>
      </c>
      <c r="C25" s="10">
        <v>351600.38</v>
      </c>
      <c r="D25" s="10">
        <v>220256.45</v>
      </c>
      <c r="E25" s="10">
        <v>297601.83</v>
      </c>
      <c r="F25" s="10">
        <v>277003.65999999997</v>
      </c>
      <c r="G25" s="10">
        <v>270135.56</v>
      </c>
      <c r="H25" s="10">
        <v>252458.11</v>
      </c>
      <c r="I25" s="10">
        <v>316843.21000000002</v>
      </c>
      <c r="J25" s="10">
        <v>256048.38</v>
      </c>
      <c r="K25" s="10">
        <v>234541.1</v>
      </c>
      <c r="L25" s="10">
        <v>336529.43</v>
      </c>
      <c r="M25" s="11">
        <v>257124.39</v>
      </c>
      <c r="N25" s="26">
        <f t="shared" si="0"/>
        <v>3288129.8400000003</v>
      </c>
      <c r="O25" s="102">
        <v>3218563</v>
      </c>
      <c r="P25" s="22">
        <f t="shared" si="1"/>
        <v>2.1614254560187396E-2</v>
      </c>
      <c r="Q25" s="37" t="s">
        <v>37</v>
      </c>
    </row>
    <row r="26" spans="1:17">
      <c r="A26" s="37" t="s">
        <v>38</v>
      </c>
      <c r="B26" s="9">
        <v>9744.51</v>
      </c>
      <c r="C26" s="10">
        <v>22480.959999999999</v>
      </c>
      <c r="D26" s="10">
        <v>14198.9</v>
      </c>
      <c r="E26" s="10">
        <v>10707.65</v>
      </c>
      <c r="F26" s="10">
        <v>22147.45</v>
      </c>
      <c r="G26" s="10">
        <v>9168.68</v>
      </c>
      <c r="H26" s="10">
        <v>12125.15</v>
      </c>
      <c r="I26" s="10">
        <v>27764.45</v>
      </c>
      <c r="J26" s="10">
        <v>16071.24</v>
      </c>
      <c r="K26" s="10">
        <v>18580.93</v>
      </c>
      <c r="L26" s="10">
        <v>25049.34</v>
      </c>
      <c r="M26" s="11">
        <v>18041.84</v>
      </c>
      <c r="N26" s="26">
        <f t="shared" si="0"/>
        <v>206081.09999999998</v>
      </c>
      <c r="O26" s="102">
        <v>200647</v>
      </c>
      <c r="P26" s="22">
        <f t="shared" si="1"/>
        <v>2.7082886861004463E-2</v>
      </c>
      <c r="Q26" s="37" t="s">
        <v>38</v>
      </c>
    </row>
    <row r="27" spans="1:17">
      <c r="A27" s="37" t="s">
        <v>39</v>
      </c>
      <c r="B27" s="9">
        <v>79716.210000000006</v>
      </c>
      <c r="C27" s="10">
        <v>133805.44</v>
      </c>
      <c r="D27" s="10">
        <v>87936.5</v>
      </c>
      <c r="E27" s="10">
        <v>105760.85</v>
      </c>
      <c r="F27" s="10">
        <v>134259.26999999999</v>
      </c>
      <c r="G27" s="10">
        <v>120033.21</v>
      </c>
      <c r="H27" s="10">
        <v>108459.82</v>
      </c>
      <c r="I27" s="10">
        <v>150259.65</v>
      </c>
      <c r="J27" s="10">
        <v>131399.23000000001</v>
      </c>
      <c r="K27" s="10">
        <v>111313.26</v>
      </c>
      <c r="L27" s="10">
        <v>156547.41</v>
      </c>
      <c r="M27" s="11">
        <v>136044.16</v>
      </c>
      <c r="N27" s="26">
        <f t="shared" si="0"/>
        <v>1455535.01</v>
      </c>
      <c r="O27" s="102">
        <v>1278734</v>
      </c>
      <c r="P27" s="22">
        <f t="shared" si="1"/>
        <v>0.13826253935533117</v>
      </c>
      <c r="Q27" s="37" t="s">
        <v>39</v>
      </c>
    </row>
    <row r="28" spans="1:17">
      <c r="A28" s="37" t="s">
        <v>40</v>
      </c>
      <c r="B28" s="9">
        <v>782.42</v>
      </c>
      <c r="C28" s="10">
        <v>4776.62</v>
      </c>
      <c r="D28" s="10">
        <v>817.8</v>
      </c>
      <c r="E28" s="10">
        <v>170.39</v>
      </c>
      <c r="F28" s="10">
        <v>1969.07</v>
      </c>
      <c r="G28" s="10">
        <v>778.75</v>
      </c>
      <c r="H28" s="10">
        <v>801.52</v>
      </c>
      <c r="I28" s="10">
        <v>10264.49</v>
      </c>
      <c r="J28" s="10">
        <v>1149.5999999999999</v>
      </c>
      <c r="K28" s="10">
        <v>1608.73</v>
      </c>
      <c r="L28" s="10">
        <v>9540.14</v>
      </c>
      <c r="M28" s="11">
        <v>2348.15</v>
      </c>
      <c r="N28" s="26">
        <f t="shared" si="0"/>
        <v>35007.68</v>
      </c>
      <c r="O28" s="102">
        <v>34300</v>
      </c>
      <c r="P28" s="22">
        <f t="shared" si="1"/>
        <v>2.0632069970845546E-2</v>
      </c>
      <c r="Q28" s="37" t="s">
        <v>40</v>
      </c>
    </row>
    <row r="29" spans="1:17" ht="13" thickBot="1">
      <c r="A29" s="38" t="s">
        <v>41</v>
      </c>
      <c r="B29" s="12">
        <v>111834.56</v>
      </c>
      <c r="C29" s="13">
        <v>213677.09</v>
      </c>
      <c r="D29" s="13">
        <v>129665.96</v>
      </c>
      <c r="E29" s="13">
        <v>110028.96</v>
      </c>
      <c r="F29" s="13">
        <v>193418.15</v>
      </c>
      <c r="G29" s="13">
        <v>136663.14000000001</v>
      </c>
      <c r="H29" s="13">
        <v>120905.22</v>
      </c>
      <c r="I29" s="13">
        <v>219732.06</v>
      </c>
      <c r="J29" s="13">
        <v>146437.21</v>
      </c>
      <c r="K29" s="13">
        <v>132168.42000000001</v>
      </c>
      <c r="L29" s="13">
        <v>192982.9</v>
      </c>
      <c r="M29" s="14">
        <v>153923.94</v>
      </c>
      <c r="N29" s="27">
        <f t="shared" si="0"/>
        <v>1861437.6099999999</v>
      </c>
      <c r="O29" s="103">
        <v>1852610</v>
      </c>
      <c r="P29" s="21">
        <f>N29/O29-1</f>
        <v>4.764958625938398E-3</v>
      </c>
      <c r="Q29" s="38" t="s">
        <v>41</v>
      </c>
    </row>
    <row r="30" spans="1:17" ht="14" thickTop="1" thickBot="1">
      <c r="A30" s="3" t="s">
        <v>0</v>
      </c>
      <c r="B30" s="33">
        <f>SUM(B4:B29)</f>
        <v>1538122.27</v>
      </c>
      <c r="C30" s="34">
        <f t="shared" ref="C30:M30" si="2">SUM(C4:C29)</f>
        <v>2885746.2699999996</v>
      </c>
      <c r="D30" s="34">
        <f>SUM(D4:D29)</f>
        <v>1837607.0999999994</v>
      </c>
      <c r="E30" s="34">
        <f t="shared" si="2"/>
        <v>2052666.3399999999</v>
      </c>
      <c r="F30" s="34">
        <f t="shared" si="2"/>
        <v>2548286.5699999998</v>
      </c>
      <c r="G30" s="34">
        <f t="shared" si="2"/>
        <v>2187793.9699999997</v>
      </c>
      <c r="H30" s="34">
        <f t="shared" si="2"/>
        <v>1774080.9000000004</v>
      </c>
      <c r="I30" s="34">
        <f t="shared" si="2"/>
        <v>2989657.8</v>
      </c>
      <c r="J30" s="34">
        <f t="shared" si="2"/>
        <v>2118111.9100000006</v>
      </c>
      <c r="K30" s="34">
        <f t="shared" si="2"/>
        <v>1937079.8300000003</v>
      </c>
      <c r="L30" s="34">
        <f t="shared" si="2"/>
        <v>2746010.53</v>
      </c>
      <c r="M30" s="35">
        <f t="shared" si="2"/>
        <v>2107477.1799999997</v>
      </c>
      <c r="N30" s="76">
        <f>SUM(N4:N29)</f>
        <v>26722640.670000002</v>
      </c>
      <c r="O30" s="104">
        <f>SUM(O4:O29)</f>
        <v>25066947</v>
      </c>
      <c r="P30" s="23">
        <f>N30/O30-1</f>
        <v>6.60508704949192E-2</v>
      </c>
      <c r="Q30" s="3" t="s">
        <v>0</v>
      </c>
    </row>
    <row r="31" spans="1:17">
      <c r="B31" s="28">
        <f>B30/'R 2004'!B30-1</f>
        <v>3.9100338456312222E-2</v>
      </c>
      <c r="C31" s="28">
        <f>C30/'R 2004'!C30-1</f>
        <v>0.11241757912781125</v>
      </c>
      <c r="D31" s="28">
        <f>D30/'R 2004'!D30-1</f>
        <v>4.4423865488728786E-2</v>
      </c>
      <c r="E31" s="28">
        <f>E30/'R 2004'!E30-1</f>
        <v>0.3078940675470343</v>
      </c>
      <c r="F31" s="28">
        <f>F30/'R 2004'!F30-1</f>
        <v>2.8498116479997337E-2</v>
      </c>
      <c r="G31" s="28">
        <f>G30/'R 2004'!G30-1</f>
        <v>-1.8405587556966641E-2</v>
      </c>
      <c r="H31" s="28">
        <f>H30/'R 2004'!H30-1</f>
        <v>-6.3389752358872231E-2</v>
      </c>
      <c r="I31" s="28">
        <f>I30/'R 2004'!I30-1</f>
        <v>0.15341183879594134</v>
      </c>
      <c r="J31" s="28">
        <f>J30/'R 2004'!J30-1</f>
        <v>0.15688967843317725</v>
      </c>
      <c r="K31" s="28">
        <f>K30/'R 2004'!K30-1</f>
        <v>6.3250360281286833E-2</v>
      </c>
      <c r="L31" s="28">
        <f>L30/'R 2004'!L30-1</f>
        <v>5.6021815558044086E-2</v>
      </c>
      <c r="M31" s="28">
        <f>M30/'R 2004'!M30-1</f>
        <v>0.14942163667556319</v>
      </c>
      <c r="N31" s="28">
        <f>N30/'R 2004'!N30-1</f>
        <v>6.60508704949192E-2</v>
      </c>
    </row>
    <row r="34" spans="8:8">
      <c r="H34" s="100"/>
    </row>
  </sheetData>
  <mergeCells count="1">
    <mergeCell ref="A1:P1"/>
  </mergeCells>
  <phoneticPr fontId="0" type="noConversion"/>
  <pageMargins left="0.75" right="0.75" top="1" bottom="1" header="0.5" footer="0.5"/>
  <pageSetup scale="73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 enableFormatConditionsCalculation="0">
    <tabColor rgb="FFFFFF00"/>
    <pageSetUpPr fitToPage="1"/>
  </sheetPr>
  <dimension ref="A1:P31"/>
  <sheetViews>
    <sheetView workbookViewId="0">
      <selection activeCell="H31" sqref="H31"/>
    </sheetView>
  </sheetViews>
  <sheetFormatPr baseColWidth="10" defaultColWidth="8.83203125" defaultRowHeight="12" x14ac:dyDescent="0"/>
  <cols>
    <col min="14" max="15" width="9.5" bestFit="1" customWidth="1"/>
  </cols>
  <sheetData>
    <row r="1" spans="1:16" ht="21">
      <c r="A1" s="691" t="s">
        <v>65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16" ht="13" thickBo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3" thickBot="1">
      <c r="A3" s="5" t="s">
        <v>42</v>
      </c>
      <c r="B3" s="7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8" t="s">
        <v>13</v>
      </c>
      <c r="N3" s="25" t="s">
        <v>66</v>
      </c>
      <c r="O3" s="6" t="s">
        <v>47</v>
      </c>
      <c r="P3" s="18" t="s">
        <v>16</v>
      </c>
    </row>
    <row r="4" spans="1:16">
      <c r="A4" s="37" t="s">
        <v>17</v>
      </c>
      <c r="B4" s="9">
        <v>2095.1</v>
      </c>
      <c r="C4" s="10">
        <v>7089.44</v>
      </c>
      <c r="D4" s="10">
        <v>2064.83</v>
      </c>
      <c r="E4" s="10">
        <v>1929.64</v>
      </c>
      <c r="F4" s="10">
        <v>6484.66</v>
      </c>
      <c r="G4" s="10">
        <v>3857.23</v>
      </c>
      <c r="H4" s="10">
        <v>2675.9</v>
      </c>
      <c r="I4" s="10">
        <v>8866.2900000000009</v>
      </c>
      <c r="J4" s="10">
        <v>6075.27</v>
      </c>
      <c r="K4" s="10">
        <v>3288.2</v>
      </c>
      <c r="L4" s="10">
        <v>6320.13</v>
      </c>
      <c r="M4" s="11">
        <v>4698.5200000000004</v>
      </c>
      <c r="N4" s="26">
        <v>58169</v>
      </c>
      <c r="O4" s="19">
        <v>55820</v>
      </c>
      <c r="P4" s="77">
        <f>N4/O4-1</f>
        <v>4.2081691150125389E-2</v>
      </c>
    </row>
    <row r="5" spans="1:16">
      <c r="A5" s="37" t="s">
        <v>18</v>
      </c>
      <c r="B5" s="9">
        <v>0</v>
      </c>
      <c r="C5" s="10">
        <v>28977.599999999999</v>
      </c>
      <c r="D5" s="10">
        <v>35581.160000000003</v>
      </c>
      <c r="E5" s="10">
        <v>12424.89</v>
      </c>
      <c r="F5" s="10">
        <v>36972.14</v>
      </c>
      <c r="G5" s="10">
        <v>24008.21</v>
      </c>
      <c r="H5" s="10">
        <v>17291.28</v>
      </c>
      <c r="I5" s="10">
        <v>33005.550000000003</v>
      </c>
      <c r="J5" s="10">
        <v>28187.98</v>
      </c>
      <c r="K5" s="10">
        <v>21701.22</v>
      </c>
      <c r="L5" s="10">
        <v>35697.379999999997</v>
      </c>
      <c r="M5" s="11">
        <v>24454.55</v>
      </c>
      <c r="N5" s="26">
        <v>302345</v>
      </c>
      <c r="O5" s="19">
        <v>300281</v>
      </c>
      <c r="P5" s="77">
        <f t="shared" ref="P5:P28" si="0">N5/O5-1</f>
        <v>6.8735617638144841E-3</v>
      </c>
    </row>
    <row r="6" spans="1:16">
      <c r="A6" s="37" t="s">
        <v>19</v>
      </c>
      <c r="B6" s="9">
        <v>40487.67</v>
      </c>
      <c r="C6" s="10">
        <v>79914.509999999995</v>
      </c>
      <c r="D6" s="10">
        <v>46812.68</v>
      </c>
      <c r="E6" s="10">
        <v>41336.22</v>
      </c>
      <c r="F6" s="10">
        <v>67135.62</v>
      </c>
      <c r="G6" s="10">
        <v>68252.95</v>
      </c>
      <c r="H6" s="10">
        <v>74583.5</v>
      </c>
      <c r="I6" s="10">
        <v>71125.070000000007</v>
      </c>
      <c r="J6" s="10">
        <v>54733.82</v>
      </c>
      <c r="K6" s="10">
        <v>45834.77</v>
      </c>
      <c r="L6" s="10">
        <v>78177.210000000006</v>
      </c>
      <c r="M6" s="11">
        <v>59832.04</v>
      </c>
      <c r="N6" s="26">
        <v>741170</v>
      </c>
      <c r="O6" s="19">
        <v>660957</v>
      </c>
      <c r="P6" s="77">
        <f t="shared" si="0"/>
        <v>0.12135887811158663</v>
      </c>
    </row>
    <row r="7" spans="1:16">
      <c r="A7" s="37" t="s">
        <v>20</v>
      </c>
      <c r="B7" s="9">
        <v>4224.22</v>
      </c>
      <c r="C7" s="10">
        <v>18309.87</v>
      </c>
      <c r="D7" s="10">
        <v>11231.61</v>
      </c>
      <c r="E7" s="10">
        <v>7365.62</v>
      </c>
      <c r="F7" s="10">
        <v>18520.54</v>
      </c>
      <c r="G7" s="10">
        <v>11023.71</v>
      </c>
      <c r="H7" s="10">
        <v>10024.48</v>
      </c>
      <c r="I7" s="10">
        <v>20977.42</v>
      </c>
      <c r="J7" s="10">
        <v>10737.65</v>
      </c>
      <c r="K7" s="10">
        <v>12597.56</v>
      </c>
      <c r="L7" s="10">
        <v>21593.43</v>
      </c>
      <c r="M7" s="11">
        <v>10106.299999999999</v>
      </c>
      <c r="N7" s="26">
        <v>160013</v>
      </c>
      <c r="O7" s="19">
        <v>172683</v>
      </c>
      <c r="P7" s="77">
        <f t="shared" si="0"/>
        <v>-7.3371437836961317E-2</v>
      </c>
    </row>
    <row r="8" spans="1:16">
      <c r="A8" s="37" t="s">
        <v>21</v>
      </c>
      <c r="B8" s="9"/>
      <c r="C8" s="10">
        <v>907.53</v>
      </c>
      <c r="D8" s="10">
        <v>806.87</v>
      </c>
      <c r="E8" s="10">
        <v>0</v>
      </c>
      <c r="F8" s="10">
        <v>1489.53</v>
      </c>
      <c r="G8" s="10">
        <v>2793</v>
      </c>
      <c r="H8" s="10">
        <v>1341.23</v>
      </c>
      <c r="I8" s="10">
        <v>2692.87</v>
      </c>
      <c r="J8" s="10">
        <v>1250.8399999999999</v>
      </c>
      <c r="K8" s="10">
        <v>2486.96</v>
      </c>
      <c r="L8" s="10">
        <v>1247.29</v>
      </c>
      <c r="M8" s="11">
        <v>158.58000000000001</v>
      </c>
      <c r="N8" s="26">
        <v>15158</v>
      </c>
      <c r="O8" s="19">
        <v>13560</v>
      </c>
      <c r="P8" s="77">
        <f t="shared" si="0"/>
        <v>0.11784660766961652</v>
      </c>
    </row>
    <row r="9" spans="1:16">
      <c r="A9" s="37" t="s">
        <v>22</v>
      </c>
      <c r="B9" s="9">
        <v>131047.59</v>
      </c>
      <c r="C9" s="10">
        <v>202430.64</v>
      </c>
      <c r="D9" s="10">
        <v>123936.96000000001</v>
      </c>
      <c r="E9" s="10">
        <v>114335.74</v>
      </c>
      <c r="F9" s="10">
        <v>168794.2</v>
      </c>
      <c r="G9" s="10">
        <v>186910.12</v>
      </c>
      <c r="H9" s="10">
        <v>170275.46</v>
      </c>
      <c r="I9" s="10">
        <v>208150.92</v>
      </c>
      <c r="J9" s="10">
        <v>166928.84</v>
      </c>
      <c r="K9" s="10">
        <v>147256.73000000001</v>
      </c>
      <c r="L9" s="10">
        <v>213834.93</v>
      </c>
      <c r="M9" s="11">
        <v>147235.29</v>
      </c>
      <c r="N9" s="26">
        <v>2024873</v>
      </c>
      <c r="O9" s="19">
        <v>1937268</v>
      </c>
      <c r="P9" s="77">
        <f t="shared" si="0"/>
        <v>4.5220898708903556E-2</v>
      </c>
    </row>
    <row r="10" spans="1:16">
      <c r="A10" s="37" t="s">
        <v>23</v>
      </c>
      <c r="B10" s="9">
        <v>3742.59</v>
      </c>
      <c r="C10" s="10">
        <v>10017.879999999999</v>
      </c>
      <c r="D10" s="10">
        <v>3001.82</v>
      </c>
      <c r="E10" s="10">
        <v>3412.05</v>
      </c>
      <c r="F10" s="10">
        <v>11218.69</v>
      </c>
      <c r="G10" s="10">
        <v>4099.09</v>
      </c>
      <c r="H10" s="10">
        <v>3973.62</v>
      </c>
      <c r="I10" s="10">
        <v>12637.42</v>
      </c>
      <c r="J10" s="10">
        <v>4599.43</v>
      </c>
      <c r="K10" s="10">
        <v>2949.13</v>
      </c>
      <c r="L10" s="10">
        <v>13024.15</v>
      </c>
      <c r="M10" s="11">
        <v>3339.08</v>
      </c>
      <c r="N10" s="26">
        <v>79718</v>
      </c>
      <c r="O10" s="19">
        <v>70961</v>
      </c>
      <c r="P10" s="77">
        <f t="shared" si="0"/>
        <v>0.1234058144614647</v>
      </c>
    </row>
    <row r="11" spans="1:16">
      <c r="A11" s="37" t="s">
        <v>24</v>
      </c>
      <c r="B11" s="9">
        <v>2923.43</v>
      </c>
      <c r="C11" s="10">
        <v>7558.86</v>
      </c>
      <c r="D11" s="10">
        <v>777.05</v>
      </c>
      <c r="E11" s="10">
        <v>1343.17</v>
      </c>
      <c r="F11" s="10">
        <v>5712.99</v>
      </c>
      <c r="G11" s="10">
        <v>8841.2900000000009</v>
      </c>
      <c r="H11" s="10">
        <v>11070.22</v>
      </c>
      <c r="I11" s="10">
        <v>25350.14</v>
      </c>
      <c r="J11" s="10">
        <v>12912.05</v>
      </c>
      <c r="K11" s="10">
        <v>17639.009999999998</v>
      </c>
      <c r="L11" s="10">
        <v>24504.720000000001</v>
      </c>
      <c r="M11" s="11">
        <v>10950.44</v>
      </c>
      <c r="N11" s="26">
        <v>130521</v>
      </c>
      <c r="O11" s="19">
        <v>114051</v>
      </c>
      <c r="P11" s="77">
        <f t="shared" si="0"/>
        <v>0.14440908014835463</v>
      </c>
    </row>
    <row r="12" spans="1:16">
      <c r="A12" s="37" t="s">
        <v>25</v>
      </c>
      <c r="B12" s="9">
        <v>7865.63</v>
      </c>
      <c r="C12" s="10">
        <v>17199.47</v>
      </c>
      <c r="D12" s="10">
        <v>4959.42</v>
      </c>
      <c r="E12" s="10">
        <v>8346.41</v>
      </c>
      <c r="F12" s="10">
        <v>18097.150000000001</v>
      </c>
      <c r="G12" s="10">
        <v>28214.53</v>
      </c>
      <c r="H12" s="10">
        <v>15471.96</v>
      </c>
      <c r="I12" s="10">
        <v>42520.38</v>
      </c>
      <c r="J12" s="10">
        <v>16108.78</v>
      </c>
      <c r="K12" s="10">
        <v>19006.72</v>
      </c>
      <c r="L12" s="10">
        <v>27348.45</v>
      </c>
      <c r="M12" s="11">
        <v>24476.91</v>
      </c>
      <c r="N12" s="26">
        <v>230960</v>
      </c>
      <c r="O12" s="19">
        <v>222436</v>
      </c>
      <c r="P12" s="77">
        <f t="shared" si="0"/>
        <v>3.832113506806456E-2</v>
      </c>
    </row>
    <row r="13" spans="1:16">
      <c r="A13" s="37" t="s">
        <v>26</v>
      </c>
      <c r="B13" s="9">
        <v>17026.55</v>
      </c>
      <c r="C13" s="10">
        <v>40986.43</v>
      </c>
      <c r="D13" s="10">
        <v>17184.32</v>
      </c>
      <c r="E13" s="10">
        <v>19094.41</v>
      </c>
      <c r="F13" s="10">
        <v>40007.99</v>
      </c>
      <c r="G13" s="10">
        <v>25275.01</v>
      </c>
      <c r="H13" s="10">
        <v>22292.95</v>
      </c>
      <c r="I13" s="10">
        <v>48133.72</v>
      </c>
      <c r="J13" s="10">
        <v>27920.52</v>
      </c>
      <c r="K13" s="10">
        <v>26203.43</v>
      </c>
      <c r="L13" s="10">
        <v>42360.01</v>
      </c>
      <c r="M13" s="11">
        <v>31597.57</v>
      </c>
      <c r="N13" s="26">
        <v>368915</v>
      </c>
      <c r="O13" s="19">
        <v>336272</v>
      </c>
      <c r="P13" s="77">
        <f t="shared" si="0"/>
        <v>9.7073202645477474E-2</v>
      </c>
    </row>
    <row r="14" spans="1:16">
      <c r="A14" s="37" t="s">
        <v>27</v>
      </c>
      <c r="B14" s="9">
        <v>4385.1000000000004</v>
      </c>
      <c r="C14" s="10">
        <v>9492.3799999999992</v>
      </c>
      <c r="D14" s="10">
        <v>4211.9399999999996</v>
      </c>
      <c r="E14" s="10">
        <v>3723.07</v>
      </c>
      <c r="F14" s="10">
        <v>8740.5300000000007</v>
      </c>
      <c r="G14" s="10">
        <v>5347.06</v>
      </c>
      <c r="H14" s="10">
        <v>5048.05</v>
      </c>
      <c r="I14" s="10">
        <v>11431.99</v>
      </c>
      <c r="J14" s="10">
        <v>6931.3</v>
      </c>
      <c r="K14" s="10">
        <v>6026.88</v>
      </c>
      <c r="L14" s="10">
        <v>8956.36</v>
      </c>
      <c r="M14" s="11">
        <v>5034.3599999999997</v>
      </c>
      <c r="N14" s="26">
        <v>80481</v>
      </c>
      <c r="O14" s="19">
        <v>68139</v>
      </c>
      <c r="P14" s="77">
        <f t="shared" si="0"/>
        <v>0.18112974948267513</v>
      </c>
    </row>
    <row r="15" spans="1:16">
      <c r="A15" s="37" t="s">
        <v>28</v>
      </c>
      <c r="B15" s="9">
        <v>5130.05</v>
      </c>
      <c r="C15" s="10">
        <v>8632.9500000000007</v>
      </c>
      <c r="D15" s="10">
        <v>2012.5</v>
      </c>
      <c r="E15" s="10">
        <v>1855.45</v>
      </c>
      <c r="F15" s="10">
        <v>6593.85</v>
      </c>
      <c r="G15" s="10">
        <v>5476.91</v>
      </c>
      <c r="H15" s="10">
        <v>5645.86</v>
      </c>
      <c r="I15" s="10">
        <v>16688.68</v>
      </c>
      <c r="J15" s="10">
        <v>6274</v>
      </c>
      <c r="K15" s="10">
        <v>6928.76</v>
      </c>
      <c r="L15" s="10">
        <v>16907.77</v>
      </c>
      <c r="M15" s="11">
        <v>6430.01</v>
      </c>
      <c r="N15" s="26">
        <v>86877</v>
      </c>
      <c r="O15" s="19">
        <v>84108</v>
      </c>
      <c r="P15" s="77">
        <f t="shared" si="0"/>
        <v>3.2921957483235786E-2</v>
      </c>
    </row>
    <row r="16" spans="1:16">
      <c r="A16" s="37" t="s">
        <v>29</v>
      </c>
      <c r="B16" s="9">
        <v>268.86</v>
      </c>
      <c r="C16" s="10">
        <v>3317.63</v>
      </c>
      <c r="D16" s="10">
        <v>975.84</v>
      </c>
      <c r="E16" s="10">
        <v>2385.44</v>
      </c>
      <c r="F16" s="10">
        <v>3177.57</v>
      </c>
      <c r="G16" s="10">
        <v>863.79</v>
      </c>
      <c r="H16" s="10">
        <v>583.98</v>
      </c>
      <c r="I16" s="10">
        <v>5408.14</v>
      </c>
      <c r="J16" s="10">
        <v>1371.63</v>
      </c>
      <c r="K16" s="10">
        <v>613.04</v>
      </c>
      <c r="L16" s="10">
        <v>4512.03</v>
      </c>
      <c r="M16" s="11">
        <v>2335.67</v>
      </c>
      <c r="N16" s="26">
        <v>27034</v>
      </c>
      <c r="O16" s="19">
        <v>23560</v>
      </c>
      <c r="P16" s="77">
        <f t="shared" si="0"/>
        <v>0.14745331069609513</v>
      </c>
    </row>
    <row r="17" spans="1:16">
      <c r="A17" s="37" t="s">
        <v>30</v>
      </c>
      <c r="B17" s="9">
        <v>3475.52</v>
      </c>
      <c r="C17" s="10">
        <v>3519.12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1">
        <v>0</v>
      </c>
      <c r="N17" s="26">
        <v>-61557</v>
      </c>
      <c r="O17" s="19">
        <v>32639</v>
      </c>
      <c r="P17" s="77">
        <f t="shared" si="0"/>
        <v>-2.88599528171819</v>
      </c>
    </row>
    <row r="18" spans="1:16">
      <c r="A18" s="37" t="s">
        <v>31</v>
      </c>
      <c r="B18" s="9">
        <v>750984.54</v>
      </c>
      <c r="C18" s="10">
        <v>1286431.58</v>
      </c>
      <c r="D18" s="10">
        <v>931240.98</v>
      </c>
      <c r="E18" s="10">
        <v>835069.04</v>
      </c>
      <c r="F18" s="10">
        <v>1180887.9099999999</v>
      </c>
      <c r="G18" s="10">
        <v>1134967.31</v>
      </c>
      <c r="H18" s="10">
        <v>960648.65</v>
      </c>
      <c r="I18" s="10">
        <v>1184914.17</v>
      </c>
      <c r="J18" s="10">
        <v>880325.99</v>
      </c>
      <c r="K18" s="10">
        <v>924065.17</v>
      </c>
      <c r="L18" s="10">
        <v>1183533.06</v>
      </c>
      <c r="M18" s="11">
        <v>914238.48</v>
      </c>
      <c r="N18" s="26">
        <v>12378768</v>
      </c>
      <c r="O18" s="19">
        <v>11644756</v>
      </c>
      <c r="P18" s="77">
        <f t="shared" si="0"/>
        <v>6.3033695167163728E-2</v>
      </c>
    </row>
    <row r="19" spans="1:16">
      <c r="A19" s="37" t="s">
        <v>45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26"/>
      <c r="O19" s="19"/>
      <c r="P19" s="77" t="s">
        <v>46</v>
      </c>
    </row>
    <row r="20" spans="1:16">
      <c r="A20" s="37" t="s">
        <v>32</v>
      </c>
      <c r="B20" s="9">
        <v>2073.5100000000002</v>
      </c>
      <c r="C20" s="10">
        <v>15219.47</v>
      </c>
      <c r="D20" s="10">
        <v>1377.15</v>
      </c>
      <c r="E20" s="10">
        <v>2533.2399999999998</v>
      </c>
      <c r="F20" s="10">
        <v>9605.51</v>
      </c>
      <c r="G20" s="10">
        <v>5605.86</v>
      </c>
      <c r="H20" s="10">
        <v>3644.52</v>
      </c>
      <c r="I20" s="10">
        <v>13314.04</v>
      </c>
      <c r="J20" s="10">
        <v>3764.73</v>
      </c>
      <c r="K20" s="10">
        <v>2395.64</v>
      </c>
      <c r="L20" s="10">
        <v>16886.61</v>
      </c>
      <c r="M20" s="11">
        <v>4092.17</v>
      </c>
      <c r="N20" s="26">
        <v>82903</v>
      </c>
      <c r="O20" s="19">
        <v>72570</v>
      </c>
      <c r="P20" s="77">
        <f t="shared" si="0"/>
        <v>0.14238666115474707</v>
      </c>
    </row>
    <row r="21" spans="1:16">
      <c r="A21" s="37" t="s">
        <v>33</v>
      </c>
      <c r="B21" s="9">
        <v>5474.23</v>
      </c>
      <c r="C21" s="10">
        <v>18804.89</v>
      </c>
      <c r="D21" s="10">
        <v>6969.87</v>
      </c>
      <c r="E21" s="10">
        <v>4259.3</v>
      </c>
      <c r="F21" s="10">
        <v>14235.83</v>
      </c>
      <c r="G21" s="10">
        <v>10241.31</v>
      </c>
      <c r="H21" s="10">
        <v>7786.51</v>
      </c>
      <c r="I21" s="10">
        <v>25961.96</v>
      </c>
      <c r="J21" s="10">
        <v>7552.17</v>
      </c>
      <c r="K21" s="10">
        <v>7503.75</v>
      </c>
      <c r="L21" s="10">
        <v>29197.29</v>
      </c>
      <c r="M21" s="11">
        <v>5573.74</v>
      </c>
      <c r="N21" s="26">
        <v>149263</v>
      </c>
      <c r="O21" s="19">
        <v>138979</v>
      </c>
      <c r="P21" s="77">
        <f t="shared" si="0"/>
        <v>7.399679088207578E-2</v>
      </c>
    </row>
    <row r="22" spans="1:16">
      <c r="A22" s="37" t="s">
        <v>34</v>
      </c>
      <c r="B22" s="9">
        <v>49003.93</v>
      </c>
      <c r="C22" s="10">
        <v>132786.31</v>
      </c>
      <c r="D22" s="10">
        <v>123186.4</v>
      </c>
      <c r="E22" s="10">
        <v>130066.16</v>
      </c>
      <c r="F22" s="10">
        <v>182287.67</v>
      </c>
      <c r="G22" s="10">
        <v>83636.3</v>
      </c>
      <c r="H22" s="10">
        <v>33898.44</v>
      </c>
      <c r="I22" s="10">
        <v>92413.64</v>
      </c>
      <c r="J22" s="10">
        <v>68714.11</v>
      </c>
      <c r="K22" s="10">
        <v>62691.86</v>
      </c>
      <c r="L22" s="10">
        <v>107981.85</v>
      </c>
      <c r="M22" s="11">
        <v>60446.53</v>
      </c>
      <c r="N22" s="26">
        <v>1153892</v>
      </c>
      <c r="O22" s="19">
        <v>1025571</v>
      </c>
      <c r="P22" s="77">
        <f t="shared" si="0"/>
        <v>0.12512151767161894</v>
      </c>
    </row>
    <row r="23" spans="1:16">
      <c r="A23" s="37" t="s">
        <v>35</v>
      </c>
      <c r="B23" s="9">
        <v>21374.28</v>
      </c>
      <c r="C23" s="10">
        <v>15289.36</v>
      </c>
      <c r="D23" s="10">
        <v>16453.23</v>
      </c>
      <c r="E23" s="10">
        <v>13912.99</v>
      </c>
      <c r="F23" s="10">
        <v>23201.96</v>
      </c>
      <c r="G23" s="10">
        <v>22929.65</v>
      </c>
      <c r="H23" s="10">
        <v>17165.52</v>
      </c>
      <c r="I23" s="10">
        <v>35239.08</v>
      </c>
      <c r="J23" s="10">
        <v>21200.82</v>
      </c>
      <c r="K23" s="10">
        <v>19720.5</v>
      </c>
      <c r="L23" s="10">
        <v>29463.5</v>
      </c>
      <c r="M23" s="11">
        <v>20933.25</v>
      </c>
      <c r="N23" s="26">
        <v>258479</v>
      </c>
      <c r="O23" s="19">
        <v>287317</v>
      </c>
      <c r="P23" s="77">
        <f t="shared" si="0"/>
        <v>-0.100369974627328</v>
      </c>
    </row>
    <row r="24" spans="1:16">
      <c r="A24" s="37" t="s">
        <v>36</v>
      </c>
      <c r="B24" s="9">
        <v>13524.43</v>
      </c>
      <c r="C24" s="10">
        <v>22766.68</v>
      </c>
      <c r="D24" s="10">
        <v>14590.18</v>
      </c>
      <c r="E24" s="10">
        <v>14878.87</v>
      </c>
      <c r="F24" s="10">
        <v>17211.29</v>
      </c>
      <c r="G24" s="10">
        <v>20127.87</v>
      </c>
      <c r="H24" s="10">
        <v>11166.25</v>
      </c>
      <c r="I24" s="10">
        <v>27087.759999999998</v>
      </c>
      <c r="J24" s="10">
        <v>14827.68</v>
      </c>
      <c r="K24" s="10">
        <v>15430.13</v>
      </c>
      <c r="L24" s="10">
        <v>24337.61</v>
      </c>
      <c r="M24" s="11">
        <v>15620.6</v>
      </c>
      <c r="N24" s="26">
        <v>214111</v>
      </c>
      <c r="O24" s="19">
        <v>188380</v>
      </c>
      <c r="P24" s="77">
        <f t="shared" si="0"/>
        <v>0.13659093322008697</v>
      </c>
    </row>
    <row r="25" spans="1:16">
      <c r="A25" s="37" t="s">
        <v>37</v>
      </c>
      <c r="B25" s="9">
        <v>218462.71</v>
      </c>
      <c r="C25" s="10">
        <v>319812.82</v>
      </c>
      <c r="D25" s="10">
        <v>213085.59</v>
      </c>
      <c r="E25" s="10">
        <v>161164.26</v>
      </c>
      <c r="F25" s="10">
        <v>313207.67</v>
      </c>
      <c r="G25" s="10">
        <v>281362.86</v>
      </c>
      <c r="H25" s="10">
        <v>273361.7</v>
      </c>
      <c r="I25" s="10">
        <v>305270.99</v>
      </c>
      <c r="J25" s="10">
        <v>257123.29</v>
      </c>
      <c r="K25" s="10">
        <v>240651.76</v>
      </c>
      <c r="L25" s="10">
        <v>331468.62</v>
      </c>
      <c r="M25" s="11">
        <v>236308.44</v>
      </c>
      <c r="N25" s="26">
        <v>3218563</v>
      </c>
      <c r="O25" s="19">
        <v>2980578</v>
      </c>
      <c r="P25" s="77">
        <f t="shared" si="0"/>
        <v>7.9845251491489133E-2</v>
      </c>
    </row>
    <row r="26" spans="1:16">
      <c r="A26" s="37" t="s">
        <v>38</v>
      </c>
      <c r="B26" s="9">
        <v>7898.08</v>
      </c>
      <c r="C26" s="10">
        <v>27449.32</v>
      </c>
      <c r="D26" s="10">
        <v>9988.9699999999993</v>
      </c>
      <c r="E26" s="10">
        <v>10496.81</v>
      </c>
      <c r="F26" s="10">
        <v>19152.03</v>
      </c>
      <c r="G26" s="10">
        <v>9701.9599999999991</v>
      </c>
      <c r="H26" s="10">
        <v>16535.79</v>
      </c>
      <c r="I26" s="10">
        <v>27786.63</v>
      </c>
      <c r="J26" s="10">
        <v>16635.37</v>
      </c>
      <c r="K26" s="10">
        <v>15825.41</v>
      </c>
      <c r="L26" s="10">
        <v>31584.68</v>
      </c>
      <c r="M26" s="11">
        <v>10534.55</v>
      </c>
      <c r="N26" s="26">
        <v>200647</v>
      </c>
      <c r="O26" s="19">
        <v>208878</v>
      </c>
      <c r="P26" s="77">
        <f t="shared" si="0"/>
        <v>-3.9405777535211906E-2</v>
      </c>
    </row>
    <row r="27" spans="1:16">
      <c r="A27" s="37" t="s">
        <v>39</v>
      </c>
      <c r="B27" s="9">
        <v>81972.210000000006</v>
      </c>
      <c r="C27" s="10">
        <v>97852.55</v>
      </c>
      <c r="D27" s="10">
        <v>74710.47</v>
      </c>
      <c r="E27" s="10">
        <v>74034.2</v>
      </c>
      <c r="F27" s="10">
        <v>138866.23999999999</v>
      </c>
      <c r="G27" s="10">
        <v>100180.7</v>
      </c>
      <c r="H27" s="10">
        <v>100898.68</v>
      </c>
      <c r="I27" s="10">
        <v>145027.87</v>
      </c>
      <c r="J27" s="10">
        <v>90997.77</v>
      </c>
      <c r="K27" s="10">
        <v>99804.5</v>
      </c>
      <c r="L27" s="10">
        <v>132312.5</v>
      </c>
      <c r="M27" s="11">
        <v>103457.84</v>
      </c>
      <c r="N27" s="26">
        <v>1278734</v>
      </c>
      <c r="O27" s="19">
        <v>1093356</v>
      </c>
      <c r="P27" s="77">
        <f t="shared" si="0"/>
        <v>0.1695495337291788</v>
      </c>
    </row>
    <row r="28" spans="1:16">
      <c r="A28" s="37" t="s">
        <v>40</v>
      </c>
      <c r="B28" s="9">
        <v>1008.77</v>
      </c>
      <c r="C28" s="10">
        <v>335.51</v>
      </c>
      <c r="D28" s="10">
        <v>396.13</v>
      </c>
      <c r="E28" s="10">
        <v>1439.63</v>
      </c>
      <c r="F28" s="10">
        <v>2054.81</v>
      </c>
      <c r="G28" s="10">
        <v>1723.18</v>
      </c>
      <c r="H28" s="10">
        <v>1198.45</v>
      </c>
      <c r="I28" s="10">
        <v>9154.14</v>
      </c>
      <c r="J28" s="10">
        <v>1762.45</v>
      </c>
      <c r="K28" s="10">
        <v>987.47</v>
      </c>
      <c r="L28" s="10">
        <v>8899.8799999999992</v>
      </c>
      <c r="M28" s="11">
        <v>1804.19</v>
      </c>
      <c r="N28" s="26">
        <v>34300</v>
      </c>
      <c r="O28" s="19">
        <v>38117</v>
      </c>
      <c r="P28" s="77">
        <f t="shared" si="0"/>
        <v>-0.10013904557021802</v>
      </c>
    </row>
    <row r="29" spans="1:16" ht="13" thickBot="1">
      <c r="A29" s="38" t="s">
        <v>41</v>
      </c>
      <c r="B29" s="12">
        <v>105795.22</v>
      </c>
      <c r="C29" s="13">
        <v>219018.62</v>
      </c>
      <c r="D29" s="13">
        <v>113889.75</v>
      </c>
      <c r="E29" s="13">
        <v>104037.27</v>
      </c>
      <c r="F29" s="13">
        <v>184021.05</v>
      </c>
      <c r="G29" s="13">
        <v>183376.75</v>
      </c>
      <c r="H29" s="13">
        <v>127567.64</v>
      </c>
      <c r="I29" s="13">
        <v>218853.54</v>
      </c>
      <c r="J29" s="13">
        <v>123931.18</v>
      </c>
      <c r="K29" s="13">
        <v>120238.73</v>
      </c>
      <c r="L29" s="13">
        <v>210185.58</v>
      </c>
      <c r="M29" s="14">
        <v>129851.86</v>
      </c>
      <c r="N29" s="27">
        <v>1852610</v>
      </c>
      <c r="O29" s="19">
        <v>1756383</v>
      </c>
      <c r="P29" s="78">
        <f>N29/O29-1</f>
        <v>5.4787025381138443E-2</v>
      </c>
    </row>
    <row r="30" spans="1:16" ht="14" thickTop="1" thickBot="1">
      <c r="A30" s="3" t="s">
        <v>0</v>
      </c>
      <c r="B30" s="33">
        <f>SUM(B4:B29)</f>
        <v>1480244.22</v>
      </c>
      <c r="C30" s="34">
        <f t="shared" ref="C30:M30" si="1">SUM(C4:C29)</f>
        <v>2594121.4199999995</v>
      </c>
      <c r="D30" s="34">
        <f>SUM(D4:D29)</f>
        <v>1759445.7199999997</v>
      </c>
      <c r="E30" s="34">
        <f t="shared" si="1"/>
        <v>1569443.8800000001</v>
      </c>
      <c r="F30" s="34">
        <f t="shared" si="1"/>
        <v>2477677.4299999992</v>
      </c>
      <c r="G30" s="34">
        <f t="shared" si="1"/>
        <v>2228816.65</v>
      </c>
      <c r="H30" s="34">
        <f t="shared" si="1"/>
        <v>1894150.6399999997</v>
      </c>
      <c r="I30" s="34">
        <f t="shared" si="1"/>
        <v>2592012.41</v>
      </c>
      <c r="J30" s="34">
        <f t="shared" si="1"/>
        <v>1830867.6700000002</v>
      </c>
      <c r="K30" s="34">
        <f t="shared" si="1"/>
        <v>1821847.3299999998</v>
      </c>
      <c r="L30" s="34">
        <f t="shared" si="1"/>
        <v>2600335.0400000005</v>
      </c>
      <c r="M30" s="35">
        <f t="shared" si="1"/>
        <v>1833510.9700000002</v>
      </c>
      <c r="N30" s="76">
        <f>SUM(N4:N29)</f>
        <v>25066947</v>
      </c>
      <c r="O30" s="80">
        <v>23527620</v>
      </c>
      <c r="P30" s="79">
        <f>N30/O30-1</f>
        <v>6.5426379718815486E-2</v>
      </c>
    </row>
    <row r="31" spans="1:16">
      <c r="B31" s="28">
        <f>B30/'R 2003'!B30-1</f>
        <v>5.4367835156656774E-3</v>
      </c>
      <c r="C31" s="28">
        <f>C30/'R 2003'!C30-1</f>
        <v>3.1493842289873841E-2</v>
      </c>
      <c r="D31" s="28">
        <f>D30/'R 2003'!D30-1</f>
        <v>0.14439240147614041</v>
      </c>
      <c r="E31" s="28">
        <f>E30/'R 2003'!E30-1</f>
        <v>0.15487472391565138</v>
      </c>
      <c r="F31" s="28">
        <f>F30/'R 2003'!F30-1</f>
        <v>-0.11739678960906708</v>
      </c>
      <c r="G31" s="28">
        <f>G30/'R 2003'!G30-1</f>
        <v>0.44365802618833605</v>
      </c>
      <c r="H31" s="28">
        <f>H30/'R 2003'!H30-1</f>
        <v>0.24545128520679471</v>
      </c>
      <c r="I31" s="28">
        <f>I30/'R 2003'!I30-1</f>
        <v>-2.9710039030438007E-2</v>
      </c>
      <c r="J31" s="28">
        <f>J30/'R 2003'!J30-1</f>
        <v>0.13460709611263511</v>
      </c>
      <c r="K31" s="28">
        <f>K30/'R 2003'!K30-1</f>
        <v>9.7937566592902092E-2</v>
      </c>
      <c r="L31" s="28">
        <f>L30/'R 2003'!L30-1</f>
        <v>-8.8248807789020889E-3</v>
      </c>
      <c r="M31" s="28">
        <f>M30/'R 2003'!M30-1</f>
        <v>5.8194564080987998E-2</v>
      </c>
      <c r="N31" s="28">
        <f>N30/'R 2003'!N30-1</f>
        <v>6.5426379718815486E-2</v>
      </c>
    </row>
  </sheetData>
  <mergeCells count="1">
    <mergeCell ref="A1:P1"/>
  </mergeCells>
  <phoneticPr fontId="0" type="noConversion"/>
  <pageMargins left="0.75" right="0.75" top="1" bottom="1" header="0.5" footer="0.5"/>
  <pageSetup scale="83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>
    <tabColor rgb="FFFFFF00"/>
    <pageSetUpPr fitToPage="1"/>
  </sheetPr>
  <dimension ref="A1:P31"/>
  <sheetViews>
    <sheetView workbookViewId="0">
      <selection activeCell="H31" sqref="H31"/>
    </sheetView>
  </sheetViews>
  <sheetFormatPr baseColWidth="10" defaultColWidth="8.83203125" defaultRowHeight="12" x14ac:dyDescent="0"/>
  <cols>
    <col min="1" max="1" width="11.5" customWidth="1"/>
    <col min="4" max="8" width="8.6640625" customWidth="1"/>
    <col min="9" max="9" width="9.5" customWidth="1"/>
    <col min="10" max="13" width="8.6640625" customWidth="1"/>
    <col min="14" max="15" width="9.5" bestFit="1" customWidth="1"/>
    <col min="16" max="16" width="10.1640625" bestFit="1" customWidth="1"/>
  </cols>
  <sheetData>
    <row r="1" spans="1:16" ht="21">
      <c r="A1" s="691" t="s">
        <v>44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16" ht="13" thickBo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3" thickBot="1">
      <c r="A3" s="5" t="s">
        <v>42</v>
      </c>
      <c r="B3" s="7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8" t="s">
        <v>13</v>
      </c>
      <c r="N3" s="25" t="s">
        <v>70</v>
      </c>
      <c r="O3" s="6" t="s">
        <v>68</v>
      </c>
      <c r="P3" s="18" t="s">
        <v>16</v>
      </c>
    </row>
    <row r="4" spans="1:16">
      <c r="A4" s="37" t="s">
        <v>17</v>
      </c>
      <c r="B4" s="9">
        <v>3300.03</v>
      </c>
      <c r="C4" s="10">
        <v>9405.44</v>
      </c>
      <c r="D4" s="10">
        <v>258.55</v>
      </c>
      <c r="E4" s="10">
        <v>1013.42</v>
      </c>
      <c r="F4" s="10">
        <v>7497.32</v>
      </c>
      <c r="G4" s="10">
        <v>1089.1400000000001</v>
      </c>
      <c r="H4" s="10">
        <v>1710.92</v>
      </c>
      <c r="I4" s="10">
        <v>12892.43</v>
      </c>
      <c r="J4" s="10">
        <v>4533.1499999999996</v>
      </c>
      <c r="K4" s="10">
        <v>3538</v>
      </c>
      <c r="L4" s="10">
        <v>8992</v>
      </c>
      <c r="M4" s="11">
        <v>2980.35</v>
      </c>
      <c r="N4" s="26">
        <v>55820</v>
      </c>
      <c r="O4" s="19">
        <f>SUM('R 2002'!N4)</f>
        <v>57615</v>
      </c>
      <c r="P4" s="77">
        <f>N4/O4-1</f>
        <v>-3.1155081142063668E-2</v>
      </c>
    </row>
    <row r="5" spans="1:16">
      <c r="A5" s="37" t="s">
        <v>18</v>
      </c>
      <c r="B5" s="9">
        <v>15036.44</v>
      </c>
      <c r="C5" s="10">
        <v>33955.89</v>
      </c>
      <c r="D5" s="10">
        <v>14082.94</v>
      </c>
      <c r="E5" s="10">
        <v>12826.74</v>
      </c>
      <c r="F5" s="10">
        <v>38289.69</v>
      </c>
      <c r="G5" s="10">
        <v>16719.2</v>
      </c>
      <c r="H5" s="10">
        <v>15737.47</v>
      </c>
      <c r="I5" s="10">
        <v>39939.03</v>
      </c>
      <c r="J5" s="10">
        <v>18900.060000000001</v>
      </c>
      <c r="K5" s="10">
        <v>20485</v>
      </c>
      <c r="L5" s="10">
        <v>39925</v>
      </c>
      <c r="M5" s="11">
        <v>26925.22</v>
      </c>
      <c r="N5" s="26">
        <v>300281</v>
      </c>
      <c r="O5" s="19">
        <f>SUM('R 2002'!N5)</f>
        <v>283894</v>
      </c>
      <c r="P5" s="77">
        <f t="shared" ref="P5:P28" si="0">N5/O5-1</f>
        <v>5.7722248444842084E-2</v>
      </c>
    </row>
    <row r="6" spans="1:16">
      <c r="A6" s="37" t="s">
        <v>19</v>
      </c>
      <c r="B6" s="9">
        <v>42144.46</v>
      </c>
      <c r="C6" s="10">
        <v>72759.06</v>
      </c>
      <c r="D6" s="10">
        <v>41124.86</v>
      </c>
      <c r="E6" s="10">
        <v>36278.85</v>
      </c>
      <c r="F6" s="10">
        <v>70595.56</v>
      </c>
      <c r="G6" s="10">
        <v>47517.2</v>
      </c>
      <c r="H6" s="10">
        <v>43010.99</v>
      </c>
      <c r="I6" s="10">
        <v>80243.009999999995</v>
      </c>
      <c r="J6" s="10">
        <v>46848.1</v>
      </c>
      <c r="K6" s="10">
        <v>45940</v>
      </c>
      <c r="L6" s="10">
        <v>71568</v>
      </c>
      <c r="M6" s="11">
        <v>46178.98</v>
      </c>
      <c r="N6" s="26">
        <v>660957</v>
      </c>
      <c r="O6" s="19">
        <f>SUM('R 2002'!N6)</f>
        <v>636240</v>
      </c>
      <c r="P6" s="77">
        <f t="shared" si="0"/>
        <v>3.8848547717842408E-2</v>
      </c>
    </row>
    <row r="7" spans="1:16">
      <c r="A7" s="37" t="s">
        <v>20</v>
      </c>
      <c r="B7" s="9">
        <v>8856.18</v>
      </c>
      <c r="C7" s="10">
        <v>21246.62</v>
      </c>
      <c r="D7" s="10">
        <v>8633.6200000000008</v>
      </c>
      <c r="E7" s="10">
        <v>8243.76</v>
      </c>
      <c r="F7" s="10">
        <v>21999.35</v>
      </c>
      <c r="G7" s="10">
        <v>7731.4</v>
      </c>
      <c r="H7" s="10">
        <v>12154.73</v>
      </c>
      <c r="I7" s="10">
        <v>26118.78</v>
      </c>
      <c r="J7" s="10">
        <v>11696.54</v>
      </c>
      <c r="K7" s="10">
        <v>13442</v>
      </c>
      <c r="L7" s="10">
        <v>21228</v>
      </c>
      <c r="M7" s="11">
        <v>12954.14</v>
      </c>
      <c r="N7" s="26">
        <v>172683</v>
      </c>
      <c r="O7" s="19">
        <f>SUM('R 2002'!N7)</f>
        <v>164358</v>
      </c>
      <c r="P7" s="77">
        <f t="shared" si="0"/>
        <v>5.0651626327893995E-2</v>
      </c>
    </row>
    <row r="8" spans="1:16">
      <c r="A8" s="37" t="s">
        <v>21</v>
      </c>
      <c r="B8" s="9">
        <v>0</v>
      </c>
      <c r="C8" s="10">
        <v>747.85</v>
      </c>
      <c r="D8" s="10">
        <v>118.3</v>
      </c>
      <c r="E8" s="10">
        <v>0</v>
      </c>
      <c r="F8" s="10">
        <v>2574.4699999999998</v>
      </c>
      <c r="G8" s="10">
        <v>510.35</v>
      </c>
      <c r="H8" s="10">
        <v>759.65</v>
      </c>
      <c r="I8" s="10">
        <v>2120</v>
      </c>
      <c r="J8" s="10">
        <v>962.34</v>
      </c>
      <c r="K8" s="10">
        <v>871</v>
      </c>
      <c r="L8" s="10">
        <v>4027</v>
      </c>
      <c r="M8" s="11">
        <v>378.08</v>
      </c>
      <c r="N8" s="26">
        <v>13560</v>
      </c>
      <c r="O8" s="19">
        <f>SUM('R 2002'!N8)</f>
        <v>16031</v>
      </c>
      <c r="P8" s="77">
        <f t="shared" si="0"/>
        <v>-0.15413885596656474</v>
      </c>
    </row>
    <row r="9" spans="1:16">
      <c r="A9" s="37" t="s">
        <v>22</v>
      </c>
      <c r="B9" s="9">
        <v>124477.23</v>
      </c>
      <c r="C9" s="10">
        <v>195931.51999999999</v>
      </c>
      <c r="D9" s="10">
        <v>120727.61</v>
      </c>
      <c r="E9" s="10">
        <v>110867.42</v>
      </c>
      <c r="F9" s="10">
        <v>208186.42</v>
      </c>
      <c r="G9" s="10">
        <v>124130.72</v>
      </c>
      <c r="H9" s="10">
        <v>132584</v>
      </c>
      <c r="I9" s="10">
        <v>240024.11</v>
      </c>
      <c r="J9" s="10">
        <v>147334.88</v>
      </c>
      <c r="K9" s="10">
        <v>159773</v>
      </c>
      <c r="L9" s="10">
        <v>198967</v>
      </c>
      <c r="M9" s="11">
        <v>142155.92000000001</v>
      </c>
      <c r="N9" s="26">
        <v>1937268</v>
      </c>
      <c r="O9" s="19">
        <f>SUM('R 2002'!N9)</f>
        <v>1893807</v>
      </c>
      <c r="P9" s="77">
        <f t="shared" si="0"/>
        <v>2.2949012227750698E-2</v>
      </c>
    </row>
    <row r="10" spans="1:16">
      <c r="A10" s="37" t="s">
        <v>23</v>
      </c>
      <c r="B10" s="9">
        <v>3223.35</v>
      </c>
      <c r="C10" s="10">
        <v>8922.1200000000008</v>
      </c>
      <c r="D10" s="10">
        <v>2590.48</v>
      </c>
      <c r="E10" s="10">
        <v>2933.18</v>
      </c>
      <c r="F10" s="10">
        <v>9390.89</v>
      </c>
      <c r="G10" s="10">
        <v>3007.46</v>
      </c>
      <c r="H10" s="10">
        <v>3743.61</v>
      </c>
      <c r="I10" s="10">
        <v>11350.8</v>
      </c>
      <c r="J10" s="10">
        <v>3783.23</v>
      </c>
      <c r="K10" s="10">
        <v>4462</v>
      </c>
      <c r="L10" s="10">
        <v>11381</v>
      </c>
      <c r="M10" s="11">
        <v>3988.45</v>
      </c>
      <c r="N10" s="26">
        <v>70961</v>
      </c>
      <c r="O10" s="19">
        <f>SUM('R 2002'!N10)</f>
        <v>72107</v>
      </c>
      <c r="P10" s="77">
        <f t="shared" si="0"/>
        <v>-1.589304783169454E-2</v>
      </c>
    </row>
    <row r="11" spans="1:16">
      <c r="A11" s="37" t="s">
        <v>24</v>
      </c>
      <c r="B11" s="9">
        <v>3420.45</v>
      </c>
      <c r="C11" s="10">
        <v>3959.06</v>
      </c>
      <c r="D11" s="10">
        <v>1034.02</v>
      </c>
      <c r="E11" s="10">
        <v>1648.27</v>
      </c>
      <c r="F11" s="10">
        <v>6522.01</v>
      </c>
      <c r="G11" s="10">
        <v>5740.88</v>
      </c>
      <c r="H11" s="10">
        <v>9654.24</v>
      </c>
      <c r="I11" s="10">
        <v>22040.6</v>
      </c>
      <c r="J11" s="10">
        <v>11449.71</v>
      </c>
      <c r="K11" s="10">
        <v>12949</v>
      </c>
      <c r="L11" s="10">
        <v>24392</v>
      </c>
      <c r="M11" s="11">
        <v>8413.99</v>
      </c>
      <c r="N11" s="26">
        <v>114051</v>
      </c>
      <c r="O11" s="19">
        <f>SUM('R 2002'!N11)</f>
        <v>106489</v>
      </c>
      <c r="P11" s="77">
        <f t="shared" si="0"/>
        <v>7.1012029411488431E-2</v>
      </c>
    </row>
    <row r="12" spans="1:16">
      <c r="A12" s="37" t="s">
        <v>25</v>
      </c>
      <c r="B12" s="9">
        <v>5181.49</v>
      </c>
      <c r="C12" s="10">
        <v>17969.97</v>
      </c>
      <c r="D12" s="10">
        <v>7133.2</v>
      </c>
      <c r="E12" s="10">
        <v>5440.48</v>
      </c>
      <c r="F12" s="10">
        <v>27996.77</v>
      </c>
      <c r="G12" s="10">
        <v>17500.349999999999</v>
      </c>
      <c r="H12" s="10">
        <v>14006.22</v>
      </c>
      <c r="I12" s="10">
        <v>41178.559999999998</v>
      </c>
      <c r="J12" s="10">
        <v>14893</v>
      </c>
      <c r="K12" s="10">
        <v>13387</v>
      </c>
      <c r="L12" s="10">
        <v>34578</v>
      </c>
      <c r="M12" s="11">
        <v>18878.21</v>
      </c>
      <c r="N12" s="26">
        <v>222436</v>
      </c>
      <c r="O12" s="19">
        <f>SUM('R 2002'!N12)</f>
        <v>225332</v>
      </c>
      <c r="P12" s="77">
        <f t="shared" si="0"/>
        <v>-1.285214705412463E-2</v>
      </c>
    </row>
    <row r="13" spans="1:16">
      <c r="A13" s="37" t="s">
        <v>26</v>
      </c>
      <c r="B13" s="9">
        <v>17739.759999999998</v>
      </c>
      <c r="C13" s="10">
        <v>37234</v>
      </c>
      <c r="D13" s="10">
        <v>20307.72</v>
      </c>
      <c r="E13" s="10">
        <v>17885.330000000002</v>
      </c>
      <c r="F13" s="10">
        <v>42695.35</v>
      </c>
      <c r="G13" s="10">
        <v>18791.05</v>
      </c>
      <c r="H13" s="10">
        <v>17194.830000000002</v>
      </c>
      <c r="I13" s="10">
        <v>41240.449999999997</v>
      </c>
      <c r="J13" s="10">
        <v>25667.96</v>
      </c>
      <c r="K13" s="10">
        <v>23862</v>
      </c>
      <c r="L13" s="10">
        <v>45212</v>
      </c>
      <c r="M13" s="11">
        <v>21365.040000000001</v>
      </c>
      <c r="N13" s="26">
        <v>336272</v>
      </c>
      <c r="O13" s="19">
        <f>SUM('R 2002'!N13)</f>
        <v>324093</v>
      </c>
      <c r="P13" s="77">
        <f t="shared" si="0"/>
        <v>3.7578719688484474E-2</v>
      </c>
    </row>
    <row r="14" spans="1:16">
      <c r="A14" s="37" t="s">
        <v>27</v>
      </c>
      <c r="B14" s="9">
        <v>0</v>
      </c>
      <c r="C14" s="10">
        <v>5458.34</v>
      </c>
      <c r="D14" s="10">
        <v>4451.34</v>
      </c>
      <c r="E14" s="10">
        <v>3315.45</v>
      </c>
      <c r="F14" s="10">
        <v>8109.71</v>
      </c>
      <c r="G14" s="10">
        <v>5110.87</v>
      </c>
      <c r="H14" s="10">
        <v>4475.8599999999997</v>
      </c>
      <c r="I14" s="10">
        <v>10231.57</v>
      </c>
      <c r="J14" s="10">
        <v>5157.84</v>
      </c>
      <c r="K14" s="10">
        <v>5555</v>
      </c>
      <c r="L14" s="10">
        <v>9744</v>
      </c>
      <c r="M14" s="11">
        <v>4900.6499999999996</v>
      </c>
      <c r="N14" s="26">
        <v>68139</v>
      </c>
      <c r="O14" s="19">
        <f>SUM('R 2002'!N14)</f>
        <v>79632</v>
      </c>
      <c r="P14" s="77">
        <f t="shared" si="0"/>
        <v>-0.14432640144665465</v>
      </c>
    </row>
    <row r="15" spans="1:16">
      <c r="A15" s="37" t="s">
        <v>28</v>
      </c>
      <c r="B15" s="9">
        <v>1988.28</v>
      </c>
      <c r="C15" s="10">
        <v>7559.26</v>
      </c>
      <c r="D15" s="10">
        <v>2124.5300000000002</v>
      </c>
      <c r="E15" s="10">
        <v>1291.3399999999999</v>
      </c>
      <c r="F15" s="10">
        <v>7192.03</v>
      </c>
      <c r="G15" s="10">
        <v>4136.26</v>
      </c>
      <c r="H15" s="10">
        <v>4691.6099999999997</v>
      </c>
      <c r="I15" s="10">
        <v>15998.9</v>
      </c>
      <c r="J15" s="10">
        <v>6276.57</v>
      </c>
      <c r="K15" s="10">
        <v>5615</v>
      </c>
      <c r="L15" s="10">
        <v>18752</v>
      </c>
      <c r="M15" s="11">
        <v>5307.35</v>
      </c>
      <c r="N15" s="26">
        <v>84108</v>
      </c>
      <c r="O15" s="19">
        <f>SUM('R 2002'!N15)</f>
        <v>80883</v>
      </c>
      <c r="P15" s="77">
        <f t="shared" si="0"/>
        <v>3.9872408293460948E-2</v>
      </c>
    </row>
    <row r="16" spans="1:16">
      <c r="A16" s="37" t="s">
        <v>29</v>
      </c>
      <c r="B16" s="9">
        <v>389.24</v>
      </c>
      <c r="C16" s="10">
        <v>2934.67</v>
      </c>
      <c r="D16" s="10">
        <v>1755.34</v>
      </c>
      <c r="E16" s="10">
        <v>294.38</v>
      </c>
      <c r="F16" s="10">
        <v>2966.65</v>
      </c>
      <c r="G16" s="10">
        <v>938.64</v>
      </c>
      <c r="H16" s="10">
        <v>893.72</v>
      </c>
      <c r="I16" s="10">
        <v>4485.25</v>
      </c>
      <c r="J16" s="10">
        <v>579.57000000000005</v>
      </c>
      <c r="K16" s="10">
        <v>1307</v>
      </c>
      <c r="L16" s="10">
        <v>5403</v>
      </c>
      <c r="M16" s="11">
        <v>809.96</v>
      </c>
      <c r="N16" s="26">
        <v>23560</v>
      </c>
      <c r="O16" s="19">
        <f>SUM('R 2002'!N16)</f>
        <v>19373</v>
      </c>
      <c r="P16" s="77">
        <f t="shared" si="0"/>
        <v>0.21612553553915248</v>
      </c>
    </row>
    <row r="17" spans="1:16">
      <c r="A17" s="37" t="s">
        <v>30</v>
      </c>
      <c r="B17" s="9">
        <v>0</v>
      </c>
      <c r="C17" s="10">
        <v>0</v>
      </c>
      <c r="D17" s="10">
        <v>0</v>
      </c>
      <c r="E17" s="10">
        <v>498.04</v>
      </c>
      <c r="F17" s="10">
        <v>1187.25</v>
      </c>
      <c r="G17" s="10">
        <v>129.82</v>
      </c>
      <c r="H17" s="10">
        <v>920.87</v>
      </c>
      <c r="I17" s="10">
        <v>3975.44</v>
      </c>
      <c r="J17" s="10">
        <v>3372.11</v>
      </c>
      <c r="K17" s="10">
        <v>2403</v>
      </c>
      <c r="L17" s="10">
        <v>8314</v>
      </c>
      <c r="M17" s="11">
        <v>5578.15</v>
      </c>
      <c r="N17" s="26">
        <v>32639</v>
      </c>
      <c r="O17" s="19">
        <f>SUM('R 2002'!N17)</f>
        <v>66200</v>
      </c>
      <c r="P17" s="77">
        <f t="shared" si="0"/>
        <v>-0.50696374622356499</v>
      </c>
    </row>
    <row r="18" spans="1:16">
      <c r="A18" s="37" t="s">
        <v>31</v>
      </c>
      <c r="B18" s="9">
        <v>802748.07</v>
      </c>
      <c r="C18" s="10">
        <v>1230761.04</v>
      </c>
      <c r="D18" s="10">
        <v>802165.8</v>
      </c>
      <c r="E18" s="10">
        <v>709764.98</v>
      </c>
      <c r="F18" s="10">
        <v>1376795.84</v>
      </c>
      <c r="G18" s="10">
        <v>817333.87</v>
      </c>
      <c r="H18" s="10">
        <v>786783.63</v>
      </c>
      <c r="I18" s="10">
        <v>1196731</v>
      </c>
      <c r="J18" s="10">
        <v>792589.28</v>
      </c>
      <c r="K18" s="10">
        <v>806978</v>
      </c>
      <c r="L18" s="10">
        <v>1210752</v>
      </c>
      <c r="M18" s="11">
        <v>891375.74</v>
      </c>
      <c r="N18" s="26">
        <v>11644756</v>
      </c>
      <c r="O18" s="19">
        <f>SUM('R 2002'!N18)</f>
        <v>12068259</v>
      </c>
      <c r="P18" s="77">
        <f t="shared" si="0"/>
        <v>-3.5092302874838888E-2</v>
      </c>
    </row>
    <row r="19" spans="1:16">
      <c r="A19" s="37" t="s">
        <v>45</v>
      </c>
      <c r="B19" s="9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>
        <v>0</v>
      </c>
      <c r="N19" s="26">
        <v>0</v>
      </c>
      <c r="O19" s="19">
        <v>0</v>
      </c>
      <c r="P19" s="77" t="s">
        <v>46</v>
      </c>
    </row>
    <row r="20" spans="1:16">
      <c r="A20" s="37" t="s">
        <v>32</v>
      </c>
      <c r="B20" s="9">
        <v>2262.84</v>
      </c>
      <c r="C20" s="10">
        <v>13354.33</v>
      </c>
      <c r="D20" s="10">
        <v>2902.9</v>
      </c>
      <c r="E20" s="10">
        <v>1409.55</v>
      </c>
      <c r="F20" s="10">
        <v>12272.18</v>
      </c>
      <c r="G20" s="10">
        <v>1882.75</v>
      </c>
      <c r="H20" s="10">
        <v>3184.3</v>
      </c>
      <c r="I20" s="10">
        <v>12983.99</v>
      </c>
      <c r="J20" s="10">
        <v>1284.55</v>
      </c>
      <c r="K20" s="10">
        <v>3543</v>
      </c>
      <c r="L20" s="10">
        <v>14585</v>
      </c>
      <c r="M20" s="11">
        <v>2953.85</v>
      </c>
      <c r="N20" s="26">
        <v>72570</v>
      </c>
      <c r="O20" s="19">
        <v>82067</v>
      </c>
      <c r="P20" s="77">
        <f t="shared" si="0"/>
        <v>-0.11572251940487654</v>
      </c>
    </row>
    <row r="21" spans="1:16">
      <c r="A21" s="37" t="s">
        <v>33</v>
      </c>
      <c r="B21" s="9">
        <v>4840.1400000000003</v>
      </c>
      <c r="C21" s="10">
        <v>21532.86</v>
      </c>
      <c r="D21" s="10">
        <v>6313.25</v>
      </c>
      <c r="E21" s="10">
        <v>3489.73</v>
      </c>
      <c r="F21" s="10">
        <v>24163.66</v>
      </c>
      <c r="G21" s="10">
        <v>2874.89</v>
      </c>
      <c r="H21" s="10">
        <v>6169.04</v>
      </c>
      <c r="I21" s="10">
        <v>25250.41</v>
      </c>
      <c r="J21" s="10">
        <v>6294.37</v>
      </c>
      <c r="K21" s="10">
        <v>7334</v>
      </c>
      <c r="L21" s="10">
        <v>25400</v>
      </c>
      <c r="M21" s="11">
        <v>6680.55</v>
      </c>
      <c r="N21" s="26">
        <v>138979</v>
      </c>
      <c r="O21" s="19">
        <v>150555</v>
      </c>
      <c r="P21" s="77">
        <f t="shared" si="0"/>
        <v>-7.6888844608282714E-2</v>
      </c>
    </row>
    <row r="22" spans="1:16">
      <c r="A22" s="37" t="s">
        <v>34</v>
      </c>
      <c r="B22" s="9">
        <v>38243.85</v>
      </c>
      <c r="C22" s="10">
        <v>136669.69</v>
      </c>
      <c r="D22" s="10">
        <v>104191.16</v>
      </c>
      <c r="E22" s="10">
        <v>88988.94</v>
      </c>
      <c r="F22" s="10">
        <v>205040.64000000001</v>
      </c>
      <c r="G22" s="10">
        <v>37494.26</v>
      </c>
      <c r="H22" s="10">
        <v>32280.67</v>
      </c>
      <c r="I22" s="10">
        <v>93331.13</v>
      </c>
      <c r="J22" s="10">
        <v>64584.639999999999</v>
      </c>
      <c r="K22" s="10">
        <v>64676</v>
      </c>
      <c r="L22" s="10">
        <v>89551</v>
      </c>
      <c r="M22" s="11">
        <v>54581.64</v>
      </c>
      <c r="N22" s="26">
        <v>1025571</v>
      </c>
      <c r="O22" s="19">
        <v>1065130</v>
      </c>
      <c r="P22" s="77">
        <f t="shared" si="0"/>
        <v>-3.7140067409611954E-2</v>
      </c>
    </row>
    <row r="23" spans="1:16">
      <c r="A23" s="37" t="s">
        <v>35</v>
      </c>
      <c r="B23" s="9">
        <v>12719.38</v>
      </c>
      <c r="C23" s="10">
        <v>22700.86</v>
      </c>
      <c r="D23" s="10">
        <v>15822.19</v>
      </c>
      <c r="E23" s="10">
        <v>11591.04</v>
      </c>
      <c r="F23" s="10">
        <v>25564.55</v>
      </c>
      <c r="G23" s="10">
        <v>19154.46</v>
      </c>
      <c r="H23" s="10">
        <v>27803.1</v>
      </c>
      <c r="I23" s="10">
        <v>39426.28</v>
      </c>
      <c r="J23" s="10">
        <v>17787.919999999998</v>
      </c>
      <c r="K23" s="10">
        <v>32130</v>
      </c>
      <c r="L23" s="10">
        <v>35423</v>
      </c>
      <c r="M23" s="11">
        <v>19018.939999999999</v>
      </c>
      <c r="N23" s="26">
        <v>287317</v>
      </c>
      <c r="O23" s="19">
        <v>230164</v>
      </c>
      <c r="P23" s="77">
        <f t="shared" si="0"/>
        <v>0.24831424549451686</v>
      </c>
    </row>
    <row r="24" spans="1:16">
      <c r="A24" s="37" t="s">
        <v>36</v>
      </c>
      <c r="B24" s="9">
        <v>9030.16</v>
      </c>
      <c r="C24" s="10">
        <v>25524.15</v>
      </c>
      <c r="D24" s="10">
        <v>9288.4</v>
      </c>
      <c r="E24" s="10">
        <v>7568.42</v>
      </c>
      <c r="F24" s="10">
        <v>20853.73</v>
      </c>
      <c r="G24" s="10">
        <v>9479.2800000000007</v>
      </c>
      <c r="H24" s="10">
        <v>11082.61</v>
      </c>
      <c r="I24" s="10">
        <v>24170.720000000001</v>
      </c>
      <c r="J24" s="10">
        <v>12553.58</v>
      </c>
      <c r="K24" s="10">
        <v>14095</v>
      </c>
      <c r="L24" s="10">
        <v>23514</v>
      </c>
      <c r="M24" s="11">
        <v>12345.91</v>
      </c>
      <c r="N24" s="26">
        <v>188380</v>
      </c>
      <c r="O24" s="19">
        <v>188975</v>
      </c>
      <c r="P24" s="77">
        <f t="shared" si="0"/>
        <v>-3.1485646249503896E-3</v>
      </c>
    </row>
    <row r="25" spans="1:16">
      <c r="A25" s="37" t="s">
        <v>37</v>
      </c>
      <c r="B25" s="9">
        <v>205111.87</v>
      </c>
      <c r="C25" s="10">
        <v>298627.81</v>
      </c>
      <c r="D25" s="10">
        <v>191155.32</v>
      </c>
      <c r="E25" s="10">
        <v>170217.84</v>
      </c>
      <c r="F25" s="10">
        <v>324697.73</v>
      </c>
      <c r="G25" s="10">
        <v>207738.85</v>
      </c>
      <c r="H25" s="10">
        <v>196954.53</v>
      </c>
      <c r="I25" s="10">
        <v>334245.83</v>
      </c>
      <c r="J25" s="10">
        <v>209123.27</v>
      </c>
      <c r="K25" s="10">
        <v>224265</v>
      </c>
      <c r="L25" s="10">
        <v>329914</v>
      </c>
      <c r="M25" s="11">
        <v>229941.82</v>
      </c>
      <c r="N25" s="26">
        <v>2980578</v>
      </c>
      <c r="O25" s="19">
        <v>2883982</v>
      </c>
      <c r="P25" s="77">
        <f t="shared" si="0"/>
        <v>3.3493967715471085E-2</v>
      </c>
    </row>
    <row r="26" spans="1:16">
      <c r="A26" s="37" t="s">
        <v>38</v>
      </c>
      <c r="B26" s="9">
        <v>8608.75</v>
      </c>
      <c r="C26" s="10">
        <v>23550.3</v>
      </c>
      <c r="D26" s="10">
        <v>14898.36</v>
      </c>
      <c r="E26" s="10">
        <v>12782.83</v>
      </c>
      <c r="F26" s="10">
        <v>17023.93</v>
      </c>
      <c r="G26" s="10">
        <v>10812.21</v>
      </c>
      <c r="H26" s="10">
        <v>14002.39</v>
      </c>
      <c r="I26" s="10">
        <v>28397.17</v>
      </c>
      <c r="J26" s="10">
        <v>17662.07</v>
      </c>
      <c r="K26" s="10">
        <v>12621</v>
      </c>
      <c r="L26" s="10">
        <v>31825</v>
      </c>
      <c r="M26" s="11">
        <v>10387.120000000001</v>
      </c>
      <c r="N26" s="26">
        <v>208878</v>
      </c>
      <c r="O26" s="19">
        <v>204137</v>
      </c>
      <c r="P26" s="77">
        <f t="shared" si="0"/>
        <v>2.3224599166246307E-2</v>
      </c>
    </row>
    <row r="27" spans="1:16">
      <c r="A27" s="37" t="s">
        <v>39</v>
      </c>
      <c r="B27" s="9">
        <v>66812.460000000006</v>
      </c>
      <c r="C27" s="10">
        <v>111375.44</v>
      </c>
      <c r="D27" s="10">
        <v>68476.84</v>
      </c>
      <c r="E27" s="10">
        <v>58360.01</v>
      </c>
      <c r="F27" s="10">
        <v>124755.79</v>
      </c>
      <c r="G27" s="10">
        <v>74576.09</v>
      </c>
      <c r="H27" s="10">
        <v>71965.460000000006</v>
      </c>
      <c r="I27" s="10">
        <v>131485.29999999999</v>
      </c>
      <c r="J27" s="10">
        <v>74924.02</v>
      </c>
      <c r="K27" s="10">
        <v>74660</v>
      </c>
      <c r="L27" s="10">
        <v>128199</v>
      </c>
      <c r="M27" s="11">
        <v>83186.48</v>
      </c>
      <c r="N27" s="26">
        <v>1093356</v>
      </c>
      <c r="O27" s="19">
        <v>1032341</v>
      </c>
      <c r="P27" s="77">
        <f t="shared" si="0"/>
        <v>5.9103532650548685E-2</v>
      </c>
    </row>
    <row r="28" spans="1:16">
      <c r="A28" s="37" t="s">
        <v>40</v>
      </c>
      <c r="B28" s="9">
        <v>571.91999999999996</v>
      </c>
      <c r="C28" s="10">
        <v>3467.72</v>
      </c>
      <c r="D28" s="10">
        <v>140.26</v>
      </c>
      <c r="E28" s="10">
        <v>285.89999999999998</v>
      </c>
      <c r="F28" s="10">
        <v>2070.67</v>
      </c>
      <c r="G28" s="10">
        <v>3119.82</v>
      </c>
      <c r="H28" s="10">
        <v>1677.64</v>
      </c>
      <c r="I28" s="10">
        <v>9867.48</v>
      </c>
      <c r="J28" s="10">
        <v>1157.1500000000001</v>
      </c>
      <c r="K28" s="10">
        <v>2053</v>
      </c>
      <c r="L28" s="10">
        <v>11013</v>
      </c>
      <c r="M28" s="11">
        <v>2341.4499999999998</v>
      </c>
      <c r="N28" s="26">
        <v>38117</v>
      </c>
      <c r="O28" s="19">
        <v>33704</v>
      </c>
      <c r="P28" s="77">
        <f t="shared" si="0"/>
        <v>0.13093401376691194</v>
      </c>
    </row>
    <row r="29" spans="1:16" ht="13" thickBot="1">
      <c r="A29" s="38" t="s">
        <v>41</v>
      </c>
      <c r="B29" s="12">
        <v>95533.62</v>
      </c>
      <c r="C29" s="13">
        <v>209269.02</v>
      </c>
      <c r="D29" s="13">
        <v>97752.68</v>
      </c>
      <c r="E29" s="13">
        <v>91977.37</v>
      </c>
      <c r="F29" s="13">
        <v>218795.99</v>
      </c>
      <c r="G29" s="13">
        <v>106347.64</v>
      </c>
      <c r="H29" s="13">
        <v>107412.77</v>
      </c>
      <c r="I29" s="13">
        <v>223650.95</v>
      </c>
      <c r="J29" s="13">
        <v>114241.96</v>
      </c>
      <c r="K29" s="13">
        <v>103392</v>
      </c>
      <c r="L29" s="13">
        <v>220828</v>
      </c>
      <c r="M29" s="14">
        <v>119050.51</v>
      </c>
      <c r="N29" s="27">
        <v>1756383</v>
      </c>
      <c r="O29" s="19">
        <v>1670534</v>
      </c>
      <c r="P29" s="78">
        <f>N29/O29-1</f>
        <v>5.1390154285994694E-2</v>
      </c>
    </row>
    <row r="30" spans="1:16" ht="14" thickTop="1" thickBot="1">
      <c r="A30" s="3" t="s">
        <v>0</v>
      </c>
      <c r="B30" s="33">
        <f t="shared" ref="B30:N30" si="1">SUM(B4:B29)</f>
        <v>1472239.9699999997</v>
      </c>
      <c r="C30" s="34">
        <f t="shared" si="1"/>
        <v>2514917.02</v>
      </c>
      <c r="D30" s="34">
        <f t="shared" si="1"/>
        <v>1537449.6700000002</v>
      </c>
      <c r="E30" s="34">
        <f t="shared" si="1"/>
        <v>1358973.27</v>
      </c>
      <c r="F30" s="34">
        <f t="shared" si="1"/>
        <v>2807238.1799999997</v>
      </c>
      <c r="G30" s="34">
        <f t="shared" si="1"/>
        <v>1543867.46</v>
      </c>
      <c r="H30" s="34">
        <f t="shared" si="1"/>
        <v>1520854.8599999999</v>
      </c>
      <c r="I30" s="34">
        <f t="shared" si="1"/>
        <v>2671379.19</v>
      </c>
      <c r="J30" s="34">
        <f t="shared" si="1"/>
        <v>1613657.87</v>
      </c>
      <c r="K30" s="34">
        <f t="shared" si="1"/>
        <v>1659336</v>
      </c>
      <c r="L30" s="34">
        <f t="shared" si="1"/>
        <v>2623487</v>
      </c>
      <c r="M30" s="35">
        <f t="shared" si="1"/>
        <v>1732678.5</v>
      </c>
      <c r="N30" s="76">
        <f t="shared" si="1"/>
        <v>23527620</v>
      </c>
      <c r="O30" s="80">
        <v>23635902</v>
      </c>
      <c r="P30" s="79">
        <f>N30/O30-1</f>
        <v>-4.5812510138178997E-3</v>
      </c>
    </row>
    <row r="31" spans="1:16">
      <c r="B31" s="28">
        <f>B30/'R 2002'!B29-1</f>
        <v>8.297205453317269E-2</v>
      </c>
      <c r="C31" s="28">
        <f>C30/'R 2002'!C29-1</f>
        <v>-2.6360225161413786E-2</v>
      </c>
      <c r="D31" s="28">
        <f>D30/'R 2002'!D29-1</f>
        <v>0.11247693018153493</v>
      </c>
      <c r="E31" s="28">
        <f>E30/'R 2002'!E29-1</f>
        <v>-0.3253972728715373</v>
      </c>
      <c r="F31" s="28">
        <f>F30/'R 2002'!F29-1</f>
        <v>1.5733594829070441E-4</v>
      </c>
      <c r="G31" s="28">
        <f>G30/'R 2002'!G29-1</f>
        <v>-6.6816083204985555E-2</v>
      </c>
      <c r="H31" s="28">
        <f>H30/'R 2002'!H29-1</f>
        <v>-3.3035136187046232E-2</v>
      </c>
      <c r="I31" s="28">
        <f>I30/'R 2002'!I29-1</f>
        <v>-4.3520857007206537E-3</v>
      </c>
      <c r="J31" s="28">
        <f>J30/'R 2002'!J29-1</f>
        <v>3.3314197172190418E-2</v>
      </c>
      <c r="K31" s="28">
        <f>K30/'R 2002'!K29-1</f>
        <v>0.10567441347603768</v>
      </c>
      <c r="L31" s="28">
        <f>L30/'R 2002'!L29-1</f>
        <v>-2.8952619737434904E-2</v>
      </c>
      <c r="M31" s="28">
        <f>M30/'R 2002'!M29-1</f>
        <v>0.17212049050269251</v>
      </c>
      <c r="N31" s="28">
        <f>N30/'R 2002'!N29-1</f>
        <v>-4.5812510138178997E-3</v>
      </c>
    </row>
  </sheetData>
  <mergeCells count="1">
    <mergeCell ref="A1:P1"/>
  </mergeCells>
  <phoneticPr fontId="0" type="noConversion"/>
  <pageMargins left="0.5" right="0.5" top="0.75" bottom="0.75" header="0.5" footer="0.5"/>
  <pageSetup scale="88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 enableFormatConditionsCalculation="0">
    <tabColor rgb="FFFFFF00"/>
    <pageSetUpPr fitToPage="1"/>
  </sheetPr>
  <dimension ref="A1:P30"/>
  <sheetViews>
    <sheetView topLeftCell="C1" workbookViewId="0">
      <selection activeCell="H31" sqref="H31"/>
    </sheetView>
  </sheetViews>
  <sheetFormatPr baseColWidth="10" defaultColWidth="8.83203125" defaultRowHeight="12" x14ac:dyDescent="0"/>
  <cols>
    <col min="1" max="1" width="11.33203125" bestFit="1" customWidth="1"/>
    <col min="2" max="13" width="8.6640625" bestFit="1" customWidth="1"/>
    <col min="14" max="15" width="9.5" bestFit="1" customWidth="1"/>
    <col min="16" max="16" width="10.1640625" bestFit="1" customWidth="1"/>
  </cols>
  <sheetData>
    <row r="1" spans="1:16" ht="21">
      <c r="A1" s="691" t="s">
        <v>1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16" ht="13" thickBo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3" thickBot="1">
      <c r="A3" s="5" t="s">
        <v>42</v>
      </c>
      <c r="B3" s="7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8" t="s">
        <v>13</v>
      </c>
      <c r="N3" s="25" t="s">
        <v>68</v>
      </c>
      <c r="O3" s="6" t="s">
        <v>15</v>
      </c>
      <c r="P3" s="18" t="s">
        <v>16</v>
      </c>
    </row>
    <row r="4" spans="1:16">
      <c r="A4" s="37" t="s">
        <v>17</v>
      </c>
      <c r="B4" s="9">
        <v>2448.6</v>
      </c>
      <c r="C4" s="10">
        <v>10813.82</v>
      </c>
      <c r="D4" s="10">
        <v>2092.14</v>
      </c>
      <c r="E4" s="10">
        <v>897.15</v>
      </c>
      <c r="F4" s="10">
        <v>10342.01</v>
      </c>
      <c r="G4" s="10">
        <v>1065.22</v>
      </c>
      <c r="H4" s="10">
        <v>1603.45</v>
      </c>
      <c r="I4" s="10">
        <v>9957.9599999999991</v>
      </c>
      <c r="J4" s="10">
        <v>1725.66</v>
      </c>
      <c r="K4" s="10">
        <v>1711.97</v>
      </c>
      <c r="L4" s="10">
        <v>13253.03</v>
      </c>
      <c r="M4" s="11">
        <v>1119.24</v>
      </c>
      <c r="N4" s="26">
        <v>57615</v>
      </c>
      <c r="O4" s="19">
        <v>8047.02</v>
      </c>
      <c r="P4" s="22">
        <f>N4/O4-1</f>
        <v>6.1597933147923074</v>
      </c>
    </row>
    <row r="5" spans="1:16">
      <c r="A5" s="37" t="s">
        <v>18</v>
      </c>
      <c r="B5" s="9">
        <v>13560.73</v>
      </c>
      <c r="C5" s="10">
        <v>37888.629999999997</v>
      </c>
      <c r="D5" s="10">
        <v>14585.21</v>
      </c>
      <c r="E5" s="10">
        <v>14101.67</v>
      </c>
      <c r="F5" s="10">
        <v>34463.17</v>
      </c>
      <c r="G5" s="10">
        <v>18289.349999999999</v>
      </c>
      <c r="H5" s="10">
        <v>10227.31</v>
      </c>
      <c r="I5" s="10">
        <v>40010.269999999997</v>
      </c>
      <c r="J5" s="10">
        <v>16861.72</v>
      </c>
      <c r="K5" s="10">
        <v>25667.85</v>
      </c>
      <c r="L5" s="10">
        <v>40582.910000000003</v>
      </c>
      <c r="M5" s="11">
        <v>16698.439999999999</v>
      </c>
      <c r="N5" s="26">
        <v>283894</v>
      </c>
      <c r="O5" s="19">
        <v>291596.07</v>
      </c>
      <c r="P5" s="22">
        <f t="shared" ref="P5:P27" si="0">N5/O5-1</f>
        <v>-2.6413490415011398E-2</v>
      </c>
    </row>
    <row r="6" spans="1:16">
      <c r="A6" s="37" t="s">
        <v>19</v>
      </c>
      <c r="B6" s="9">
        <v>38680.199999999997</v>
      </c>
      <c r="C6" s="10">
        <v>75389</v>
      </c>
      <c r="D6" s="10">
        <v>37751.269999999997</v>
      </c>
      <c r="E6" s="10">
        <v>35620.019999999997</v>
      </c>
      <c r="F6" s="10">
        <v>73291.03</v>
      </c>
      <c r="G6" s="10">
        <v>43348.76</v>
      </c>
      <c r="H6" s="10">
        <v>43590.42</v>
      </c>
      <c r="I6" s="10">
        <v>74830.95</v>
      </c>
      <c r="J6" s="10">
        <v>42935.16</v>
      </c>
      <c r="K6" s="10">
        <v>40707.07</v>
      </c>
      <c r="L6" s="10">
        <v>80862.11</v>
      </c>
      <c r="M6" s="11">
        <v>42323.47</v>
      </c>
      <c r="N6" s="26">
        <v>636240</v>
      </c>
      <c r="O6" s="19">
        <v>581927.75</v>
      </c>
      <c r="P6" s="22">
        <f t="shared" si="0"/>
        <v>9.3331603450772072E-2</v>
      </c>
    </row>
    <row r="7" spans="1:16">
      <c r="A7" s="37" t="s">
        <v>20</v>
      </c>
      <c r="B7" s="9">
        <v>8833.48</v>
      </c>
      <c r="C7" s="10">
        <v>19481.45</v>
      </c>
      <c r="D7" s="10">
        <v>8552.4599999999991</v>
      </c>
      <c r="E7" s="10">
        <v>7056.71</v>
      </c>
      <c r="F7" s="10">
        <v>21621.08</v>
      </c>
      <c r="G7" s="10">
        <v>11873.56</v>
      </c>
      <c r="H7" s="10">
        <v>10290.82</v>
      </c>
      <c r="I7" s="10">
        <v>24162.63</v>
      </c>
      <c r="J7" s="10">
        <v>10311.459999999999</v>
      </c>
      <c r="K7" s="10">
        <v>7519.95</v>
      </c>
      <c r="L7" s="10">
        <v>22332.5</v>
      </c>
      <c r="M7" s="11">
        <v>9940.32</v>
      </c>
      <c r="N7" s="26">
        <v>164358</v>
      </c>
      <c r="O7" s="19">
        <v>161983.48000000001</v>
      </c>
      <c r="P7" s="22">
        <f t="shared" si="0"/>
        <v>1.4659025722870034E-2</v>
      </c>
    </row>
    <row r="8" spans="1:16">
      <c r="A8" s="37" t="s">
        <v>21</v>
      </c>
      <c r="B8" s="9">
        <v>327.27</v>
      </c>
      <c r="C8" s="10">
        <v>2468.7399999999998</v>
      </c>
      <c r="D8" s="10">
        <v>0</v>
      </c>
      <c r="E8" s="10">
        <v>0</v>
      </c>
      <c r="F8" s="10">
        <v>2594.48</v>
      </c>
      <c r="G8" s="10">
        <v>2373.7199999999998</v>
      </c>
      <c r="H8" s="10">
        <v>1019.89</v>
      </c>
      <c r="I8" s="10">
        <v>4517.71</v>
      </c>
      <c r="J8" s="10">
        <v>898.49</v>
      </c>
      <c r="K8" s="10">
        <v>893.12</v>
      </c>
      <c r="L8" s="10">
        <v>2161.1</v>
      </c>
      <c r="M8" s="11">
        <v>0</v>
      </c>
      <c r="N8" s="26">
        <v>16031</v>
      </c>
      <c r="O8" s="19">
        <v>16632.599999999999</v>
      </c>
      <c r="P8" s="22">
        <f t="shared" si="0"/>
        <v>-3.6169931339658179E-2</v>
      </c>
    </row>
    <row r="9" spans="1:16">
      <c r="A9" s="37" t="s">
        <v>22</v>
      </c>
      <c r="B9" s="9">
        <v>107222.57</v>
      </c>
      <c r="C9" s="10">
        <v>185604.06</v>
      </c>
      <c r="D9" s="10">
        <v>111976.48</v>
      </c>
      <c r="E9" s="10">
        <v>120311.38</v>
      </c>
      <c r="F9" s="10">
        <v>209275.34</v>
      </c>
      <c r="G9" s="10">
        <v>151719.75</v>
      </c>
      <c r="H9" s="10">
        <v>125411.48</v>
      </c>
      <c r="I9" s="10">
        <v>228882.89</v>
      </c>
      <c r="J9" s="10">
        <v>143594.79999999999</v>
      </c>
      <c r="K9" s="10">
        <v>143310.12</v>
      </c>
      <c r="L9" s="10">
        <v>202646.1</v>
      </c>
      <c r="M9" s="11">
        <v>125938.05</v>
      </c>
      <c r="N9" s="26">
        <v>1893807</v>
      </c>
      <c r="O9" s="19">
        <v>1756797.44</v>
      </c>
      <c r="P9" s="22">
        <f t="shared" si="0"/>
        <v>7.7988251166850597E-2</v>
      </c>
    </row>
    <row r="10" spans="1:16">
      <c r="A10" s="37" t="s">
        <v>23</v>
      </c>
      <c r="B10" s="9">
        <v>2920.51</v>
      </c>
      <c r="C10" s="10">
        <v>9571.7000000000007</v>
      </c>
      <c r="D10" s="10">
        <v>3993.93</v>
      </c>
      <c r="E10" s="10">
        <v>2301.71</v>
      </c>
      <c r="F10" s="10">
        <v>8893.81</v>
      </c>
      <c r="G10" s="10">
        <v>4088.15</v>
      </c>
      <c r="H10" s="10">
        <v>3589.67</v>
      </c>
      <c r="I10" s="10">
        <v>10160.81</v>
      </c>
      <c r="J10" s="10">
        <v>3951.96</v>
      </c>
      <c r="K10" s="10">
        <v>3688.58</v>
      </c>
      <c r="L10" s="10">
        <v>15749.65</v>
      </c>
      <c r="M10" s="11">
        <v>2754.75</v>
      </c>
      <c r="N10" s="26">
        <v>72107</v>
      </c>
      <c r="O10" s="19">
        <v>68071.19</v>
      </c>
      <c r="P10" s="22">
        <f t="shared" si="0"/>
        <v>5.9288077672801087E-2</v>
      </c>
    </row>
    <row r="11" spans="1:16">
      <c r="A11" s="37" t="s">
        <v>24</v>
      </c>
      <c r="B11" s="9">
        <v>2244.0500000000002</v>
      </c>
      <c r="C11" s="10">
        <v>6625.31</v>
      </c>
      <c r="D11" s="10">
        <v>727.15</v>
      </c>
      <c r="E11" s="10">
        <v>1093.94</v>
      </c>
      <c r="F11" s="10">
        <v>4024.35</v>
      </c>
      <c r="G11" s="10">
        <v>5715.65</v>
      </c>
      <c r="H11" s="10">
        <v>11254.22</v>
      </c>
      <c r="I11" s="10">
        <v>21721.05</v>
      </c>
      <c r="J11" s="10">
        <v>9487.14</v>
      </c>
      <c r="K11" s="10">
        <v>13606.09</v>
      </c>
      <c r="L11" s="10">
        <v>24352.58</v>
      </c>
      <c r="M11" s="11">
        <v>4859.46</v>
      </c>
      <c r="N11" s="26">
        <v>106489</v>
      </c>
      <c r="O11" s="19">
        <v>101215.45</v>
      </c>
      <c r="P11" s="22">
        <f t="shared" si="0"/>
        <v>5.2102223524175484E-2</v>
      </c>
    </row>
    <row r="12" spans="1:16">
      <c r="A12" s="37" t="s">
        <v>25</v>
      </c>
      <c r="B12" s="9">
        <v>7458.02</v>
      </c>
      <c r="C12" s="10">
        <v>18051.009999999998</v>
      </c>
      <c r="D12" s="10">
        <v>4903.1400000000003</v>
      </c>
      <c r="E12" s="10">
        <v>9507.7900000000009</v>
      </c>
      <c r="F12" s="10">
        <v>26303.27</v>
      </c>
      <c r="G12" s="10">
        <v>14093.85</v>
      </c>
      <c r="H12" s="10">
        <v>18045.18</v>
      </c>
      <c r="I12" s="10">
        <v>43416.47</v>
      </c>
      <c r="J12" s="10">
        <v>16033.8</v>
      </c>
      <c r="K12" s="10">
        <v>14514.72</v>
      </c>
      <c r="L12" s="10">
        <v>35416.57</v>
      </c>
      <c r="M12" s="11">
        <v>16000.69</v>
      </c>
      <c r="N12" s="26">
        <v>225332</v>
      </c>
      <c r="O12" s="19">
        <v>209513.7</v>
      </c>
      <c r="P12" s="22">
        <f t="shared" si="0"/>
        <v>7.5500074696785768E-2</v>
      </c>
    </row>
    <row r="13" spans="1:16">
      <c r="A13" s="37" t="s">
        <v>26</v>
      </c>
      <c r="B13" s="9">
        <v>15731.83</v>
      </c>
      <c r="C13" s="10">
        <v>39725.81</v>
      </c>
      <c r="D13" s="10">
        <v>14538.43</v>
      </c>
      <c r="E13" s="10">
        <v>14714.68</v>
      </c>
      <c r="F13" s="10">
        <v>49006.29</v>
      </c>
      <c r="G13" s="10">
        <v>14036.03</v>
      </c>
      <c r="H13" s="10">
        <v>16451.37</v>
      </c>
      <c r="I13" s="10">
        <v>46932.26</v>
      </c>
      <c r="J13" s="10">
        <v>23606.17</v>
      </c>
      <c r="K13" s="10">
        <v>23605.27</v>
      </c>
      <c r="L13" s="10">
        <v>40709.199999999997</v>
      </c>
      <c r="M13" s="11">
        <v>21568.400000000001</v>
      </c>
      <c r="N13" s="26">
        <v>324093</v>
      </c>
      <c r="O13" s="19">
        <v>306763.94</v>
      </c>
      <c r="P13" s="22">
        <f t="shared" si="0"/>
        <v>5.6489886001594547E-2</v>
      </c>
    </row>
    <row r="14" spans="1:16">
      <c r="A14" s="37" t="s">
        <v>27</v>
      </c>
      <c r="B14" s="9">
        <v>4373.74</v>
      </c>
      <c r="C14" s="10">
        <v>7278.52</v>
      </c>
      <c r="D14" s="10">
        <v>4513.68</v>
      </c>
      <c r="E14" s="10">
        <v>3505.74</v>
      </c>
      <c r="F14" s="10">
        <v>8554.6200000000008</v>
      </c>
      <c r="G14" s="10">
        <v>4904.84</v>
      </c>
      <c r="H14" s="10">
        <v>5813.57</v>
      </c>
      <c r="I14" s="10">
        <v>11963.93</v>
      </c>
      <c r="J14" s="10">
        <v>5080.1099999999997</v>
      </c>
      <c r="K14" s="10">
        <v>7071.11</v>
      </c>
      <c r="L14" s="10">
        <v>10530.77</v>
      </c>
      <c r="M14" s="11">
        <v>4894.09</v>
      </c>
      <c r="N14" s="26">
        <v>79632</v>
      </c>
      <c r="O14" s="19">
        <v>72876.25</v>
      </c>
      <c r="P14" s="22">
        <f t="shared" si="0"/>
        <v>9.2701668925061265E-2</v>
      </c>
    </row>
    <row r="15" spans="1:16">
      <c r="A15" s="37" t="s">
        <v>28</v>
      </c>
      <c r="B15" s="9">
        <v>1889.06</v>
      </c>
      <c r="C15" s="10">
        <v>7556.34</v>
      </c>
      <c r="D15" s="10">
        <v>4722.8900000000003</v>
      </c>
      <c r="E15" s="10">
        <v>718.71</v>
      </c>
      <c r="F15" s="10">
        <v>7864.91</v>
      </c>
      <c r="G15" s="10">
        <v>4485</v>
      </c>
      <c r="H15" s="10">
        <v>5123.33</v>
      </c>
      <c r="I15" s="10">
        <v>12820.05</v>
      </c>
      <c r="J15" s="10">
        <v>5560.89</v>
      </c>
      <c r="K15" s="10">
        <v>5945.17</v>
      </c>
      <c r="L15" s="10">
        <v>18318.61</v>
      </c>
      <c r="M15" s="11">
        <v>4904.95</v>
      </c>
      <c r="N15" s="26">
        <v>80883</v>
      </c>
      <c r="O15" s="19">
        <v>78038.31</v>
      </c>
      <c r="P15" s="22">
        <f t="shared" si="0"/>
        <v>3.6452480839218593E-2</v>
      </c>
    </row>
    <row r="16" spans="1:16">
      <c r="A16" s="37" t="s">
        <v>29</v>
      </c>
      <c r="B16" s="9">
        <v>435.78</v>
      </c>
      <c r="C16" s="10">
        <v>2151.5</v>
      </c>
      <c r="D16" s="10">
        <v>152.12</v>
      </c>
      <c r="E16" s="10">
        <v>600.96</v>
      </c>
      <c r="F16" s="10">
        <v>2740.55</v>
      </c>
      <c r="G16" s="10">
        <v>477.67</v>
      </c>
      <c r="H16" s="10">
        <v>522.80999999999995</v>
      </c>
      <c r="I16" s="10">
        <v>4872.09</v>
      </c>
      <c r="J16" s="10">
        <v>1020.22</v>
      </c>
      <c r="K16" s="10">
        <v>575.66999999999996</v>
      </c>
      <c r="L16" s="10">
        <v>4013.92</v>
      </c>
      <c r="M16" s="11">
        <v>467.09</v>
      </c>
      <c r="N16" s="26">
        <v>19373</v>
      </c>
      <c r="O16" s="19">
        <v>23208.51</v>
      </c>
      <c r="P16" s="22">
        <f t="shared" si="0"/>
        <v>-0.16526308668673684</v>
      </c>
    </row>
    <row r="17" spans="1:16">
      <c r="A17" s="37" t="s">
        <v>30</v>
      </c>
      <c r="B17" s="9">
        <v>1469.08</v>
      </c>
      <c r="C17" s="10">
        <v>10638.3</v>
      </c>
      <c r="D17" s="10">
        <v>153.31</v>
      </c>
      <c r="E17" s="10">
        <v>8920.39</v>
      </c>
      <c r="F17" s="10">
        <v>17664.21</v>
      </c>
      <c r="G17" s="10">
        <v>5699.29</v>
      </c>
      <c r="H17" s="10">
        <v>3570.59</v>
      </c>
      <c r="I17" s="10">
        <v>8060.19</v>
      </c>
      <c r="J17" s="10">
        <v>1982.3</v>
      </c>
      <c r="K17" s="10">
        <v>5687.61</v>
      </c>
      <c r="L17" s="10">
        <v>11495.77</v>
      </c>
      <c r="M17" s="11">
        <v>289.98</v>
      </c>
      <c r="N17" s="26">
        <v>66200</v>
      </c>
      <c r="O17" s="19">
        <v>86893.41</v>
      </c>
      <c r="P17" s="22">
        <f t="shared" si="0"/>
        <v>-0.23814705856289908</v>
      </c>
    </row>
    <row r="18" spans="1:16">
      <c r="A18" s="37" t="s">
        <v>31</v>
      </c>
      <c r="B18" s="9">
        <v>725122.64</v>
      </c>
      <c r="C18" s="10">
        <v>1277289.43</v>
      </c>
      <c r="D18" s="10">
        <v>744003.42</v>
      </c>
      <c r="E18" s="10">
        <v>1242423.06</v>
      </c>
      <c r="F18" s="10">
        <v>1370551.08</v>
      </c>
      <c r="G18" s="10">
        <v>858224.24</v>
      </c>
      <c r="H18" s="10">
        <v>830485.9</v>
      </c>
      <c r="I18" s="10">
        <v>1233496.51</v>
      </c>
      <c r="J18" s="10">
        <v>805471.19</v>
      </c>
      <c r="K18" s="10">
        <v>735127.55</v>
      </c>
      <c r="L18" s="10">
        <v>1282305.8700000001</v>
      </c>
      <c r="M18" s="11">
        <v>768924.94</v>
      </c>
      <c r="N18" s="26">
        <v>12068259</v>
      </c>
      <c r="O18" s="19">
        <v>10614810.26</v>
      </c>
      <c r="P18" s="22">
        <f t="shared" si="0"/>
        <v>0.13692649273977708</v>
      </c>
    </row>
    <row r="19" spans="1:16">
      <c r="A19" s="37" t="s">
        <v>32</v>
      </c>
      <c r="B19" s="9">
        <v>2026</v>
      </c>
      <c r="C19" s="10">
        <v>14661.41</v>
      </c>
      <c r="D19" s="10">
        <v>2565.4</v>
      </c>
      <c r="E19" s="10">
        <v>5663.75</v>
      </c>
      <c r="F19" s="10">
        <v>12119.57</v>
      </c>
      <c r="G19" s="10">
        <v>2571.19</v>
      </c>
      <c r="H19" s="10">
        <v>4313.3999999999996</v>
      </c>
      <c r="I19" s="10">
        <v>15212.69</v>
      </c>
      <c r="J19" s="10">
        <v>621.89</v>
      </c>
      <c r="K19" s="10">
        <v>1872.83</v>
      </c>
      <c r="L19" s="10">
        <v>17922.48</v>
      </c>
      <c r="M19" s="11">
        <v>2420.5500000000002</v>
      </c>
      <c r="N19" s="26">
        <v>82067</v>
      </c>
      <c r="O19" s="19">
        <v>86971.21</v>
      </c>
      <c r="P19" s="22">
        <f t="shared" si="0"/>
        <v>-5.6388890070633746E-2</v>
      </c>
    </row>
    <row r="20" spans="1:16">
      <c r="A20" s="37" t="s">
        <v>33</v>
      </c>
      <c r="B20" s="9">
        <v>5885.43</v>
      </c>
      <c r="C20" s="10">
        <v>17588.47</v>
      </c>
      <c r="D20" s="10">
        <v>6721.76</v>
      </c>
      <c r="E20" s="10">
        <v>5658.88</v>
      </c>
      <c r="F20" s="10">
        <v>17652.18</v>
      </c>
      <c r="G20" s="10">
        <v>9721.02</v>
      </c>
      <c r="H20" s="10">
        <v>5846.2</v>
      </c>
      <c r="I20" s="10">
        <v>28640.74</v>
      </c>
      <c r="J20" s="10">
        <v>9530.4</v>
      </c>
      <c r="K20" s="10">
        <v>7561.58</v>
      </c>
      <c r="L20" s="10">
        <v>28233.74</v>
      </c>
      <c r="M20" s="11">
        <v>3257.69</v>
      </c>
      <c r="N20" s="26">
        <v>150555</v>
      </c>
      <c r="O20" s="19">
        <v>139304.38</v>
      </c>
      <c r="P20" s="22">
        <f t="shared" si="0"/>
        <v>8.0762858999839038E-2</v>
      </c>
    </row>
    <row r="21" spans="1:16">
      <c r="A21" s="37" t="s">
        <v>34</v>
      </c>
      <c r="B21" s="9">
        <v>34960.120000000003</v>
      </c>
      <c r="C21" s="10">
        <v>129976.3</v>
      </c>
      <c r="D21" s="10">
        <v>98941.26</v>
      </c>
      <c r="E21" s="10">
        <v>144145.67000000001</v>
      </c>
      <c r="F21" s="10">
        <v>195480.26</v>
      </c>
      <c r="G21" s="10">
        <v>79705.11</v>
      </c>
      <c r="H21" s="10">
        <v>26711.55</v>
      </c>
      <c r="I21" s="10">
        <v>94972.87</v>
      </c>
      <c r="J21" s="10">
        <v>53954.38</v>
      </c>
      <c r="K21" s="10">
        <v>53446.52</v>
      </c>
      <c r="L21" s="10">
        <v>97607.45</v>
      </c>
      <c r="M21" s="11">
        <v>32271.8</v>
      </c>
      <c r="N21" s="26">
        <v>1065130</v>
      </c>
      <c r="O21" s="19">
        <v>950405.32</v>
      </c>
      <c r="P21" s="22">
        <f t="shared" si="0"/>
        <v>0.12071131925061196</v>
      </c>
    </row>
    <row r="22" spans="1:16">
      <c r="A22" s="37" t="s">
        <v>35</v>
      </c>
      <c r="B22" s="9">
        <v>10950.34</v>
      </c>
      <c r="C22" s="10">
        <v>26768.560000000001</v>
      </c>
      <c r="D22" s="10">
        <v>12000.74</v>
      </c>
      <c r="E22" s="10">
        <v>11286.96</v>
      </c>
      <c r="F22" s="10">
        <v>28318.83</v>
      </c>
      <c r="G22" s="10">
        <v>18411.189999999999</v>
      </c>
      <c r="H22" s="10">
        <v>12668.95</v>
      </c>
      <c r="I22" s="10">
        <v>32369.94</v>
      </c>
      <c r="J22" s="10">
        <v>16072.56</v>
      </c>
      <c r="K22" s="10">
        <v>13310.03</v>
      </c>
      <c r="L22" s="10">
        <v>32723.39</v>
      </c>
      <c r="M22" s="11">
        <v>15902.4</v>
      </c>
      <c r="N22" s="26">
        <v>230164</v>
      </c>
      <c r="O22" s="19">
        <v>206196.95</v>
      </c>
      <c r="P22" s="22">
        <f t="shared" si="0"/>
        <v>0.11623377552383762</v>
      </c>
    </row>
    <row r="23" spans="1:16">
      <c r="A23" s="37" t="s">
        <v>36</v>
      </c>
      <c r="B23" s="9">
        <v>9567.8799999999992</v>
      </c>
      <c r="C23" s="10">
        <v>20439.59</v>
      </c>
      <c r="D23" s="10">
        <v>10667.28</v>
      </c>
      <c r="E23" s="10">
        <v>10649.99</v>
      </c>
      <c r="F23" s="10">
        <v>23459.08</v>
      </c>
      <c r="G23" s="10">
        <v>11549.45</v>
      </c>
      <c r="H23" s="10">
        <v>14781.28</v>
      </c>
      <c r="I23" s="10">
        <v>29737.15</v>
      </c>
      <c r="J23" s="10">
        <v>10512.95</v>
      </c>
      <c r="K23" s="10">
        <v>10840.73</v>
      </c>
      <c r="L23" s="10">
        <v>23337.919999999998</v>
      </c>
      <c r="M23" s="11">
        <v>12852.48</v>
      </c>
      <c r="N23" s="26">
        <v>188975</v>
      </c>
      <c r="O23" s="19">
        <v>182115.24</v>
      </c>
      <c r="P23" s="22">
        <f t="shared" si="0"/>
        <v>3.7667138675489209E-2</v>
      </c>
    </row>
    <row r="24" spans="1:16">
      <c r="A24" s="37" t="s">
        <v>37</v>
      </c>
      <c r="B24" s="9">
        <v>198399.01</v>
      </c>
      <c r="C24" s="10">
        <v>337863.95</v>
      </c>
      <c r="D24" s="10">
        <v>139414.94</v>
      </c>
      <c r="E24" s="10">
        <v>185647.92</v>
      </c>
      <c r="F24" s="10">
        <v>334363.77</v>
      </c>
      <c r="G24" s="10">
        <v>197666.05</v>
      </c>
      <c r="H24" s="10">
        <v>212165.22</v>
      </c>
      <c r="I24" s="10">
        <v>338880.11</v>
      </c>
      <c r="J24" s="10">
        <v>195656.92</v>
      </c>
      <c r="K24" s="10">
        <v>211267.94</v>
      </c>
      <c r="L24" s="10">
        <v>324223.48</v>
      </c>
      <c r="M24" s="11">
        <v>199155.49</v>
      </c>
      <c r="N24" s="26">
        <v>2883982</v>
      </c>
      <c r="O24" s="19">
        <v>2843900.85</v>
      </c>
      <c r="P24" s="22">
        <f t="shared" si="0"/>
        <v>1.4093722711887136E-2</v>
      </c>
    </row>
    <row r="25" spans="1:16">
      <c r="A25" s="37" t="s">
        <v>38</v>
      </c>
      <c r="B25" s="9">
        <v>8687.52</v>
      </c>
      <c r="C25" s="10">
        <v>19848.07</v>
      </c>
      <c r="D25" s="10">
        <v>7229.58</v>
      </c>
      <c r="E25" s="10">
        <v>21753.759999999998</v>
      </c>
      <c r="F25" s="10">
        <v>21101.05</v>
      </c>
      <c r="G25" s="10">
        <v>10980.81</v>
      </c>
      <c r="H25" s="10">
        <v>10943.46</v>
      </c>
      <c r="I25" s="10">
        <v>28002.95</v>
      </c>
      <c r="J25" s="10">
        <v>13653.1</v>
      </c>
      <c r="K25" s="10">
        <v>13921.24</v>
      </c>
      <c r="L25" s="10">
        <v>32666.45</v>
      </c>
      <c r="M25" s="11">
        <v>9969.41</v>
      </c>
      <c r="N25" s="26">
        <v>204137</v>
      </c>
      <c r="O25" s="19">
        <v>202326.94</v>
      </c>
      <c r="P25" s="22">
        <f t="shared" si="0"/>
        <v>8.9462134899089829E-3</v>
      </c>
    </row>
    <row r="26" spans="1:16">
      <c r="A26" s="37" t="s">
        <v>39</v>
      </c>
      <c r="B26" s="9">
        <v>55938.81</v>
      </c>
      <c r="C26" s="10">
        <v>103415</v>
      </c>
      <c r="D26" s="10">
        <v>60768.44</v>
      </c>
      <c r="E26" s="10">
        <v>58902.080000000002</v>
      </c>
      <c r="F26" s="10">
        <v>122135.96</v>
      </c>
      <c r="G26" s="10">
        <v>77485.11</v>
      </c>
      <c r="H26" s="10">
        <v>83016.61</v>
      </c>
      <c r="I26" s="10">
        <v>117305.68</v>
      </c>
      <c r="J26" s="10">
        <v>74899.98</v>
      </c>
      <c r="K26" s="10">
        <v>63810.75</v>
      </c>
      <c r="L26" s="10">
        <v>118382.06</v>
      </c>
      <c r="M26" s="11">
        <v>69487.86</v>
      </c>
      <c r="N26" s="26">
        <v>1032341</v>
      </c>
      <c r="O26" s="19">
        <v>900713.23</v>
      </c>
      <c r="P26" s="22">
        <f t="shared" si="0"/>
        <v>0.14613726724098419</v>
      </c>
    </row>
    <row r="27" spans="1:16">
      <c r="A27" s="37" t="s">
        <v>40</v>
      </c>
      <c r="B27" s="9">
        <v>100.98</v>
      </c>
      <c r="C27" s="10">
        <v>4069.51</v>
      </c>
      <c r="D27" s="10">
        <v>91.06</v>
      </c>
      <c r="E27" s="10">
        <v>411.2</v>
      </c>
      <c r="F27" s="10">
        <v>2237.79</v>
      </c>
      <c r="G27" s="10">
        <v>735.98</v>
      </c>
      <c r="H27" s="10">
        <v>1595.15</v>
      </c>
      <c r="I27" s="10">
        <v>9021.51</v>
      </c>
      <c r="J27" s="10">
        <v>454.26</v>
      </c>
      <c r="K27" s="10">
        <v>2874.83</v>
      </c>
      <c r="L27" s="10">
        <v>10950.97</v>
      </c>
      <c r="M27" s="11">
        <v>700.09</v>
      </c>
      <c r="N27" s="26">
        <v>33704</v>
      </c>
      <c r="O27" s="19">
        <v>32173.32</v>
      </c>
      <c r="P27" s="22">
        <f t="shared" si="0"/>
        <v>4.7576066131813644E-2</v>
      </c>
    </row>
    <row r="28" spans="1:16" ht="13" thickBot="1">
      <c r="A28" s="38" t="s">
        <v>41</v>
      </c>
      <c r="B28" s="12">
        <v>100210.45</v>
      </c>
      <c r="C28" s="13">
        <v>197841.15</v>
      </c>
      <c r="D28" s="13">
        <v>90939.8</v>
      </c>
      <c r="E28" s="13">
        <v>108585.24</v>
      </c>
      <c r="F28" s="13">
        <v>202737.88</v>
      </c>
      <c r="G28" s="13">
        <v>105187.57</v>
      </c>
      <c r="H28" s="13">
        <v>113771.12</v>
      </c>
      <c r="I28" s="13">
        <v>213106.67</v>
      </c>
      <c r="J28" s="13">
        <v>97755.8</v>
      </c>
      <c r="K28" s="13">
        <v>92207.29</v>
      </c>
      <c r="L28" s="13">
        <v>210929.91</v>
      </c>
      <c r="M28" s="14">
        <v>111541.01</v>
      </c>
      <c r="N28" s="27">
        <v>1670534</v>
      </c>
      <c r="O28" s="20">
        <v>1538272.6</v>
      </c>
      <c r="P28" s="21">
        <f>N28/O28-1</f>
        <v>8.5980469261429882E-2</v>
      </c>
    </row>
    <row r="29" spans="1:16" ht="14" thickTop="1" thickBot="1">
      <c r="A29" s="3" t="s">
        <v>0</v>
      </c>
      <c r="B29" s="15">
        <f>SUM(B4:B28)</f>
        <v>1359444.0999999999</v>
      </c>
      <c r="C29" s="16">
        <f t="shared" ref="C29:N29" si="1">SUM(C4:C28)</f>
        <v>2583005.6299999994</v>
      </c>
      <c r="D29" s="16">
        <f t="shared" si="1"/>
        <v>1382005.8900000001</v>
      </c>
      <c r="E29" s="16">
        <f t="shared" si="1"/>
        <v>2014479.3599999999</v>
      </c>
      <c r="F29" s="16">
        <f t="shared" si="1"/>
        <v>2806796.57</v>
      </c>
      <c r="G29" s="16">
        <f t="shared" si="1"/>
        <v>1654408.5600000003</v>
      </c>
      <c r="H29" s="16">
        <f t="shared" si="1"/>
        <v>1572812.9499999997</v>
      </c>
      <c r="I29" s="16">
        <f t="shared" si="1"/>
        <v>2683056.0799999996</v>
      </c>
      <c r="J29" s="16">
        <f t="shared" si="1"/>
        <v>1561633.3099999996</v>
      </c>
      <c r="K29" s="16">
        <f t="shared" si="1"/>
        <v>1500745.5899999999</v>
      </c>
      <c r="L29" s="16">
        <f t="shared" si="1"/>
        <v>2701708.5400000005</v>
      </c>
      <c r="M29" s="17">
        <f t="shared" si="1"/>
        <v>1478242.65</v>
      </c>
      <c r="N29" s="24">
        <f t="shared" si="1"/>
        <v>23635902</v>
      </c>
      <c r="O29" s="4">
        <v>21460755.420000002</v>
      </c>
      <c r="P29" s="23">
        <f>N29/O29-1</f>
        <v>0.10135461391880485</v>
      </c>
    </row>
    <row r="30" spans="1:16">
      <c r="B30" s="28">
        <f>B29/'R 2001'!B29-1</f>
        <v>0.10851317596082599</v>
      </c>
      <c r="C30" s="28">
        <f>C29/'R 2001'!C29-1</f>
        <v>5.2870453251222749E-2</v>
      </c>
      <c r="D30" s="28">
        <f>D29/'R 2001'!D29-1</f>
        <v>1.283110834024237E-2</v>
      </c>
      <c r="E30" s="28">
        <f>E29/'R 2001'!E29-1</f>
        <v>0.46815465586637917</v>
      </c>
      <c r="F30" s="28">
        <f>F29/'R 2001'!F29-1</f>
        <v>0.47607103341264523</v>
      </c>
      <c r="G30" s="28">
        <f>G29/'R 2001'!G29-1</f>
        <v>-0.26021570136561245</v>
      </c>
      <c r="H30" s="28">
        <f>H29/'R 2001'!H29-1</f>
        <v>0.10660895508324741</v>
      </c>
      <c r="I30" s="28">
        <f>I29/'R 2001'!I29-1</f>
        <v>2.4957890601750021E-2</v>
      </c>
      <c r="J30" s="28">
        <f>J29/'R 2001'!J29-1</f>
        <v>9.5062365612992528E-2</v>
      </c>
      <c r="K30" s="28">
        <f>K29/'R 2001'!K29-1</f>
        <v>-7.6158786687077207E-3</v>
      </c>
      <c r="L30" s="28">
        <f>L29/'R 2001'!L29-1</f>
        <v>9.0687344292581296E-2</v>
      </c>
      <c r="M30" s="28">
        <f>M29/'R 2001'!M29-1</f>
        <v>1.7940473175652949E-2</v>
      </c>
      <c r="N30" s="28">
        <f>N29/'R 2001'!N29-1</f>
        <v>0.10135461391880485</v>
      </c>
    </row>
  </sheetData>
  <mergeCells count="1">
    <mergeCell ref="A1:P1"/>
  </mergeCells>
  <phoneticPr fontId="0" type="noConversion"/>
  <pageMargins left="0.5" right="0.5" top="1" bottom="1" header="0.5" footer="0.5"/>
  <pageSetup scale="8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 enableFormatConditionsCalculation="0">
    <tabColor rgb="FFFFFF00"/>
  </sheetPr>
  <dimension ref="A1:N29"/>
  <sheetViews>
    <sheetView workbookViewId="0">
      <selection activeCell="H31" sqref="H31"/>
    </sheetView>
  </sheetViews>
  <sheetFormatPr baseColWidth="10" defaultColWidth="8.83203125" defaultRowHeight="12" x14ac:dyDescent="0"/>
  <cols>
    <col min="1" max="1" width="11.33203125" bestFit="1" customWidth="1"/>
    <col min="2" max="2" width="8.6640625" bestFit="1" customWidth="1"/>
    <col min="14" max="14" width="9.5" bestFit="1" customWidth="1"/>
  </cols>
  <sheetData>
    <row r="1" spans="1:14" ht="21">
      <c r="A1" s="691" t="s">
        <v>43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</row>
    <row r="2" spans="1:14" ht="13" thickBo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" thickBot="1">
      <c r="A3" s="5" t="s">
        <v>42</v>
      </c>
      <c r="B3" s="7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8" t="s">
        <v>13</v>
      </c>
      <c r="N3" s="29" t="s">
        <v>15</v>
      </c>
    </row>
    <row r="4" spans="1:14">
      <c r="A4" s="37" t="s">
        <v>17</v>
      </c>
      <c r="B4" s="9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1050.01</v>
      </c>
      <c r="K4" s="10">
        <v>1092.04</v>
      </c>
      <c r="L4" s="10">
        <v>4562.0600000000004</v>
      </c>
      <c r="M4" s="11">
        <v>1342.91</v>
      </c>
      <c r="N4" s="30">
        <v>8047.02</v>
      </c>
    </row>
    <row r="5" spans="1:14">
      <c r="A5" s="37" t="s">
        <v>18</v>
      </c>
      <c r="B5" s="9">
        <v>12509.98</v>
      </c>
      <c r="C5" s="10">
        <v>40728.129999999997</v>
      </c>
      <c r="D5" s="10">
        <v>16359.34</v>
      </c>
      <c r="E5" s="10">
        <v>14426.39</v>
      </c>
      <c r="F5" s="10">
        <v>28654.560000000001</v>
      </c>
      <c r="G5" s="10">
        <v>25697.39</v>
      </c>
      <c r="H5" s="10">
        <v>15956.85</v>
      </c>
      <c r="I5" s="10">
        <v>42371.22</v>
      </c>
      <c r="J5" s="10">
        <v>19101.02</v>
      </c>
      <c r="K5" s="10">
        <v>16606.740000000002</v>
      </c>
      <c r="L5" s="10">
        <v>36472.35</v>
      </c>
      <c r="M5" s="11">
        <v>22712.1</v>
      </c>
      <c r="N5" s="30">
        <v>291596.07</v>
      </c>
    </row>
    <row r="6" spans="1:14">
      <c r="A6" s="37" t="s">
        <v>19</v>
      </c>
      <c r="B6" s="9">
        <v>33203.53</v>
      </c>
      <c r="C6" s="10">
        <v>66393.94</v>
      </c>
      <c r="D6" s="10">
        <v>30183.78</v>
      </c>
      <c r="E6" s="10">
        <v>29730.959999999999</v>
      </c>
      <c r="F6" s="10">
        <v>58151.66</v>
      </c>
      <c r="G6" s="10">
        <v>51179.519999999997</v>
      </c>
      <c r="H6" s="10">
        <v>34089.58</v>
      </c>
      <c r="I6" s="10">
        <v>80692.73</v>
      </c>
      <c r="J6" s="10">
        <v>41187.51</v>
      </c>
      <c r="K6" s="10">
        <v>40651.01</v>
      </c>
      <c r="L6" s="10">
        <v>77046.080000000002</v>
      </c>
      <c r="M6" s="11">
        <v>39417.449999999997</v>
      </c>
      <c r="N6" s="30">
        <v>581927.75</v>
      </c>
    </row>
    <row r="7" spans="1:14">
      <c r="A7" s="37" t="s">
        <v>20</v>
      </c>
      <c r="B7" s="9">
        <v>6579.73</v>
      </c>
      <c r="C7" s="10">
        <v>23943.1</v>
      </c>
      <c r="D7" s="10">
        <v>5270.93</v>
      </c>
      <c r="E7" s="10">
        <v>9607.39</v>
      </c>
      <c r="F7" s="10">
        <v>14417.47</v>
      </c>
      <c r="G7" s="10">
        <v>17733.23</v>
      </c>
      <c r="H7" s="10">
        <v>7562.39</v>
      </c>
      <c r="I7" s="10">
        <v>24556.29</v>
      </c>
      <c r="J7" s="10">
        <v>11270.78</v>
      </c>
      <c r="K7" s="10">
        <v>8795.02</v>
      </c>
      <c r="L7" s="10">
        <v>23863.29</v>
      </c>
      <c r="M7" s="11">
        <v>8383.86</v>
      </c>
      <c r="N7" s="30">
        <v>161983.48000000001</v>
      </c>
    </row>
    <row r="8" spans="1:14">
      <c r="A8" s="37" t="s">
        <v>21</v>
      </c>
      <c r="B8" s="9">
        <v>1941.99</v>
      </c>
      <c r="C8" s="10">
        <v>728.34</v>
      </c>
      <c r="D8" s="10"/>
      <c r="E8" s="10">
        <v>82.59</v>
      </c>
      <c r="F8" s="10">
        <v>598.28</v>
      </c>
      <c r="G8" s="10">
        <v>912.01</v>
      </c>
      <c r="H8" s="10">
        <v>1822.83</v>
      </c>
      <c r="I8" s="10">
        <v>3737.12</v>
      </c>
      <c r="J8" s="10">
        <v>3044.9</v>
      </c>
      <c r="K8" s="10">
        <v>957.6</v>
      </c>
      <c r="L8" s="10">
        <v>2806.94</v>
      </c>
      <c r="M8" s="11">
        <v>0</v>
      </c>
      <c r="N8" s="30">
        <v>16632.599999999999</v>
      </c>
    </row>
    <row r="9" spans="1:14">
      <c r="A9" s="37" t="s">
        <v>22</v>
      </c>
      <c r="B9" s="9">
        <v>85880.960000000006</v>
      </c>
      <c r="C9" s="10">
        <v>206508.61</v>
      </c>
      <c r="D9" s="10">
        <v>96964.479999999996</v>
      </c>
      <c r="E9" s="10">
        <v>100381.51</v>
      </c>
      <c r="F9" s="10">
        <v>157204.53</v>
      </c>
      <c r="G9" s="10">
        <v>160498.96</v>
      </c>
      <c r="H9" s="10">
        <v>116604.54</v>
      </c>
      <c r="I9" s="10">
        <v>229351.03</v>
      </c>
      <c r="J9" s="10">
        <v>128241.93</v>
      </c>
      <c r="K9" s="10">
        <v>134557.70000000001</v>
      </c>
      <c r="L9" s="10">
        <v>219445.52</v>
      </c>
      <c r="M9" s="11">
        <v>121157.67</v>
      </c>
      <c r="N9" s="30">
        <v>1756797.44</v>
      </c>
    </row>
    <row r="10" spans="1:14">
      <c r="A10" s="37" t="s">
        <v>23</v>
      </c>
      <c r="B10" s="9">
        <v>4815.2700000000004</v>
      </c>
      <c r="C10" s="10">
        <v>9328.58</v>
      </c>
      <c r="D10" s="10">
        <v>3173.76</v>
      </c>
      <c r="E10" s="10">
        <v>2336.86</v>
      </c>
      <c r="F10" s="10">
        <v>6117.55</v>
      </c>
      <c r="G10" s="10">
        <v>3948.07</v>
      </c>
      <c r="H10" s="10">
        <v>2768.88</v>
      </c>
      <c r="I10" s="10">
        <v>14046.33</v>
      </c>
      <c r="J10" s="10">
        <v>3392.72</v>
      </c>
      <c r="K10" s="10">
        <v>3034.68</v>
      </c>
      <c r="L10" s="10">
        <v>10717.75</v>
      </c>
      <c r="M10" s="11">
        <v>4390.74</v>
      </c>
      <c r="N10" s="30">
        <v>68071.19</v>
      </c>
    </row>
    <row r="11" spans="1:14">
      <c r="A11" s="37" t="s">
        <v>24</v>
      </c>
      <c r="B11" s="9">
        <v>1783.25</v>
      </c>
      <c r="C11" s="10">
        <v>6075.41</v>
      </c>
      <c r="D11" s="10">
        <v>828.29</v>
      </c>
      <c r="E11" s="10">
        <v>837.16</v>
      </c>
      <c r="F11" s="10">
        <v>1549.91</v>
      </c>
      <c r="G11" s="10">
        <v>8837.75</v>
      </c>
      <c r="H11" s="10">
        <v>9883.99</v>
      </c>
      <c r="I11" s="10">
        <v>18909.04</v>
      </c>
      <c r="J11" s="10">
        <v>9932.5</v>
      </c>
      <c r="K11" s="10">
        <v>12371.36</v>
      </c>
      <c r="L11" s="10">
        <v>23415.23</v>
      </c>
      <c r="M11" s="11">
        <v>6791.56</v>
      </c>
      <c r="N11" s="30">
        <v>101215.45</v>
      </c>
    </row>
    <row r="12" spans="1:14">
      <c r="A12" s="37" t="s">
        <v>25</v>
      </c>
      <c r="B12" s="9">
        <v>6925.41</v>
      </c>
      <c r="C12" s="10">
        <v>18039.54</v>
      </c>
      <c r="D12" s="10">
        <v>3409.6</v>
      </c>
      <c r="E12" s="10">
        <v>6986.32</v>
      </c>
      <c r="F12" s="10">
        <v>17822.310000000001</v>
      </c>
      <c r="G12" s="10">
        <v>22976.46</v>
      </c>
      <c r="H12" s="10">
        <v>15698.18</v>
      </c>
      <c r="I12" s="10">
        <v>42506.57</v>
      </c>
      <c r="J12" s="10">
        <v>13982.33</v>
      </c>
      <c r="K12" s="10">
        <v>13346.61</v>
      </c>
      <c r="L12" s="10">
        <v>34628.49</v>
      </c>
      <c r="M12" s="11">
        <v>13191.88</v>
      </c>
      <c r="N12" s="30">
        <v>209513.7</v>
      </c>
    </row>
    <row r="13" spans="1:14">
      <c r="A13" s="37" t="s">
        <v>26</v>
      </c>
      <c r="B13" s="9">
        <v>14568.04</v>
      </c>
      <c r="C13" s="10">
        <v>39552.089999999997</v>
      </c>
      <c r="D13" s="10">
        <v>15433.64</v>
      </c>
      <c r="E13" s="10">
        <v>15064.54</v>
      </c>
      <c r="F13" s="10">
        <v>25696.38</v>
      </c>
      <c r="G13" s="10">
        <v>29733.72</v>
      </c>
      <c r="H13" s="10">
        <v>19316.240000000002</v>
      </c>
      <c r="I13" s="10">
        <v>42473.45</v>
      </c>
      <c r="J13" s="10">
        <v>18782.72</v>
      </c>
      <c r="K13" s="10">
        <v>20572.099999999999</v>
      </c>
      <c r="L13" s="10">
        <v>50415.360000000001</v>
      </c>
      <c r="M13" s="11">
        <v>15155.66</v>
      </c>
      <c r="N13" s="30">
        <v>306763.94</v>
      </c>
    </row>
    <row r="14" spans="1:14">
      <c r="A14" s="37" t="s">
        <v>27</v>
      </c>
      <c r="B14" s="9">
        <v>4386.67</v>
      </c>
      <c r="C14" s="10">
        <v>7377.77</v>
      </c>
      <c r="D14" s="10">
        <v>3048.3</v>
      </c>
      <c r="E14" s="10">
        <v>3306.07</v>
      </c>
      <c r="F14" s="10">
        <v>7560.17</v>
      </c>
      <c r="G14" s="10">
        <v>5212.68</v>
      </c>
      <c r="H14" s="10">
        <v>4874.6000000000004</v>
      </c>
      <c r="I14" s="10">
        <v>11621.64</v>
      </c>
      <c r="J14" s="10">
        <v>5173.05</v>
      </c>
      <c r="K14" s="10">
        <v>6797.96</v>
      </c>
      <c r="L14" s="10">
        <v>9183.6</v>
      </c>
      <c r="M14" s="11">
        <v>4333.74</v>
      </c>
      <c r="N14" s="30">
        <v>72876.25</v>
      </c>
    </row>
    <row r="15" spans="1:14">
      <c r="A15" s="37" t="s">
        <v>28</v>
      </c>
      <c r="B15" s="9">
        <v>1608.43</v>
      </c>
      <c r="C15" s="10">
        <v>7642.05</v>
      </c>
      <c r="D15" s="10">
        <v>1987.15</v>
      </c>
      <c r="E15" s="10">
        <v>2403.31</v>
      </c>
      <c r="F15" s="10">
        <v>5258.75</v>
      </c>
      <c r="G15" s="10">
        <v>5325.16</v>
      </c>
      <c r="H15" s="10">
        <v>3291.09</v>
      </c>
      <c r="I15" s="10">
        <v>17856.39</v>
      </c>
      <c r="J15" s="10">
        <v>5677.42</v>
      </c>
      <c r="K15" s="10">
        <v>5864.1</v>
      </c>
      <c r="L15" s="10">
        <v>16862.14</v>
      </c>
      <c r="M15" s="11">
        <v>4262.32</v>
      </c>
      <c r="N15" s="30">
        <v>78038.31</v>
      </c>
    </row>
    <row r="16" spans="1:14">
      <c r="A16" s="37" t="s">
        <v>29</v>
      </c>
      <c r="B16" s="9">
        <v>697.58</v>
      </c>
      <c r="C16" s="10">
        <v>3122.54</v>
      </c>
      <c r="D16" s="10">
        <v>542.9</v>
      </c>
      <c r="E16" s="10">
        <v>3156.67</v>
      </c>
      <c r="F16" s="10">
        <v>892.97</v>
      </c>
      <c r="G16" s="10">
        <v>2608.7399999999998</v>
      </c>
      <c r="H16" s="10">
        <v>865.31</v>
      </c>
      <c r="I16" s="10">
        <v>4823.04</v>
      </c>
      <c r="J16" s="10">
        <v>1907.08</v>
      </c>
      <c r="K16" s="10">
        <v>0</v>
      </c>
      <c r="L16" s="10">
        <v>3305.92</v>
      </c>
      <c r="M16" s="11">
        <v>1285.76</v>
      </c>
      <c r="N16" s="30">
        <v>23208.51</v>
      </c>
    </row>
    <row r="17" spans="1:14">
      <c r="A17" s="37" t="s">
        <v>30</v>
      </c>
      <c r="B17" s="9">
        <v>1959.6</v>
      </c>
      <c r="C17" s="10">
        <v>4901.1400000000003</v>
      </c>
      <c r="D17" s="10">
        <v>1887.05</v>
      </c>
      <c r="E17" s="10">
        <v>2320.62</v>
      </c>
      <c r="F17" s="10">
        <v>3729.76</v>
      </c>
      <c r="G17" s="10">
        <v>11344.15</v>
      </c>
      <c r="H17" s="10">
        <v>1122.44</v>
      </c>
      <c r="I17" s="10">
        <v>3108.22</v>
      </c>
      <c r="J17" s="10">
        <v>12259.85</v>
      </c>
      <c r="K17" s="10">
        <v>2992.41</v>
      </c>
      <c r="L17" s="10">
        <v>8377.14</v>
      </c>
      <c r="M17" s="11">
        <v>32891.03</v>
      </c>
      <c r="N17" s="30">
        <v>86893.41</v>
      </c>
    </row>
    <row r="18" spans="1:14">
      <c r="A18" s="37" t="s">
        <v>31</v>
      </c>
      <c r="B18" s="9">
        <v>664618.92000000004</v>
      </c>
      <c r="C18" s="10">
        <v>1176961.25</v>
      </c>
      <c r="D18" s="10">
        <v>751134.17</v>
      </c>
      <c r="E18" s="10">
        <v>726505.14</v>
      </c>
      <c r="F18" s="10">
        <v>939667.09</v>
      </c>
      <c r="G18" s="10">
        <v>1097693.1100000001</v>
      </c>
      <c r="H18" s="10">
        <v>744764.42</v>
      </c>
      <c r="I18" s="10">
        <v>1198053.72</v>
      </c>
      <c r="J18" s="10">
        <v>694979.59</v>
      </c>
      <c r="K18" s="10">
        <v>780706.92</v>
      </c>
      <c r="L18" s="10">
        <v>1108058.17</v>
      </c>
      <c r="M18" s="11">
        <v>731667.76</v>
      </c>
      <c r="N18" s="30">
        <v>10614810.26</v>
      </c>
    </row>
    <row r="19" spans="1:14">
      <c r="A19" s="37" t="s">
        <v>32</v>
      </c>
      <c r="B19" s="9">
        <v>2712.11</v>
      </c>
      <c r="C19" s="10">
        <v>12259.11</v>
      </c>
      <c r="D19" s="10">
        <v>1165.29</v>
      </c>
      <c r="E19" s="10">
        <v>5436.03</v>
      </c>
      <c r="F19" s="10">
        <v>7125.84</v>
      </c>
      <c r="G19" s="10">
        <v>8391.15</v>
      </c>
      <c r="H19" s="10">
        <v>3214.69</v>
      </c>
      <c r="I19" s="10">
        <v>13347.58</v>
      </c>
      <c r="J19" s="10">
        <v>3972.61</v>
      </c>
      <c r="K19" s="10">
        <v>1470.05</v>
      </c>
      <c r="L19" s="10">
        <v>25756.5</v>
      </c>
      <c r="M19" s="11">
        <v>2120.25</v>
      </c>
      <c r="N19" s="30">
        <v>86971.21</v>
      </c>
    </row>
    <row r="20" spans="1:14">
      <c r="A20" s="37" t="s">
        <v>33</v>
      </c>
      <c r="B20" s="9">
        <v>4949.3100000000004</v>
      </c>
      <c r="C20" s="10">
        <v>16004.88</v>
      </c>
      <c r="D20" s="10">
        <v>3488.19</v>
      </c>
      <c r="E20" s="10">
        <v>5229.49</v>
      </c>
      <c r="F20" s="10">
        <v>11337.64</v>
      </c>
      <c r="G20" s="10">
        <v>21900.81</v>
      </c>
      <c r="H20" s="10">
        <v>8437.64</v>
      </c>
      <c r="I20" s="10">
        <v>22639.57</v>
      </c>
      <c r="J20" s="10">
        <v>9004.84</v>
      </c>
      <c r="K20" s="10">
        <v>6615.47</v>
      </c>
      <c r="L20" s="10">
        <v>22251.32</v>
      </c>
      <c r="M20" s="11">
        <v>7445.22</v>
      </c>
      <c r="N20" s="30">
        <v>139304.38</v>
      </c>
    </row>
    <row r="21" spans="1:14">
      <c r="A21" s="37" t="s">
        <v>34</v>
      </c>
      <c r="B21" s="9">
        <v>37516.9</v>
      </c>
      <c r="C21" s="10">
        <v>137789.93</v>
      </c>
      <c r="D21" s="10">
        <v>95410.28</v>
      </c>
      <c r="E21" s="10">
        <v>101612.16</v>
      </c>
      <c r="F21" s="10">
        <v>124984.43</v>
      </c>
      <c r="G21" s="10">
        <v>104602.39</v>
      </c>
      <c r="H21" s="10">
        <v>30559.31</v>
      </c>
      <c r="I21" s="10">
        <v>88999.69</v>
      </c>
      <c r="J21" s="10">
        <v>54474.17</v>
      </c>
      <c r="K21" s="10">
        <v>48680.17</v>
      </c>
      <c r="L21" s="10">
        <v>93643.68</v>
      </c>
      <c r="M21" s="11">
        <v>32132.21</v>
      </c>
      <c r="N21" s="30">
        <v>950405.32</v>
      </c>
    </row>
    <row r="22" spans="1:14">
      <c r="A22" s="37" t="s">
        <v>35</v>
      </c>
      <c r="B22" s="9">
        <v>15533.91</v>
      </c>
      <c r="C22" s="10">
        <v>27660.07</v>
      </c>
      <c r="D22" s="10">
        <v>9864.18</v>
      </c>
      <c r="E22" s="10">
        <v>7763.91</v>
      </c>
      <c r="F22" s="10">
        <v>8859.5</v>
      </c>
      <c r="G22" s="10">
        <v>22048.18</v>
      </c>
      <c r="H22" s="10">
        <v>11999.67</v>
      </c>
      <c r="I22" s="10">
        <v>30397.040000000001</v>
      </c>
      <c r="J22" s="10">
        <v>15183.03</v>
      </c>
      <c r="K22" s="10">
        <v>11271.43</v>
      </c>
      <c r="L22" s="10">
        <v>27324.36</v>
      </c>
      <c r="M22" s="11">
        <v>18291.669999999998</v>
      </c>
      <c r="N22" s="30">
        <v>206196.95</v>
      </c>
    </row>
    <row r="23" spans="1:14">
      <c r="A23" s="37" t="s">
        <v>36</v>
      </c>
      <c r="B23" s="9">
        <v>11207.38</v>
      </c>
      <c r="C23" s="10">
        <v>16511.11</v>
      </c>
      <c r="D23" s="10">
        <v>6482.19</v>
      </c>
      <c r="E23" s="10">
        <v>7588.65</v>
      </c>
      <c r="F23" s="10">
        <v>19429.79</v>
      </c>
      <c r="G23" s="10">
        <v>16821.61</v>
      </c>
      <c r="H23" s="10">
        <v>15266.46</v>
      </c>
      <c r="I23" s="10">
        <v>30157.07</v>
      </c>
      <c r="J23" s="10">
        <v>10363.77</v>
      </c>
      <c r="K23" s="10">
        <v>10830.69</v>
      </c>
      <c r="L23" s="10">
        <v>26400.85</v>
      </c>
      <c r="M23" s="11">
        <v>11055.67</v>
      </c>
      <c r="N23" s="30">
        <v>182115.24</v>
      </c>
    </row>
    <row r="24" spans="1:14">
      <c r="A24" s="37" t="s">
        <v>37</v>
      </c>
      <c r="B24" s="9">
        <v>161855.34</v>
      </c>
      <c r="C24" s="10">
        <v>324825.71999999997</v>
      </c>
      <c r="D24" s="10">
        <v>169725.01</v>
      </c>
      <c r="E24" s="10">
        <v>174167.92</v>
      </c>
      <c r="F24" s="10">
        <v>228141.77</v>
      </c>
      <c r="G24" s="10">
        <v>366657.59</v>
      </c>
      <c r="H24" s="10">
        <v>191102.09</v>
      </c>
      <c r="I24" s="10">
        <v>329396.32</v>
      </c>
      <c r="J24" s="10">
        <v>193547.78</v>
      </c>
      <c r="K24" s="10">
        <v>190633.94</v>
      </c>
      <c r="L24" s="10">
        <v>315448.36</v>
      </c>
      <c r="M24" s="11">
        <v>198399.01</v>
      </c>
      <c r="N24" s="30">
        <v>2843900.85</v>
      </c>
    </row>
    <row r="25" spans="1:14">
      <c r="A25" s="37" t="s">
        <v>38</v>
      </c>
      <c r="B25" s="9">
        <v>8092.41</v>
      </c>
      <c r="C25" s="10">
        <v>18408.939999999999</v>
      </c>
      <c r="D25" s="10">
        <v>7928.44</v>
      </c>
      <c r="E25" s="10">
        <v>10842.08</v>
      </c>
      <c r="F25" s="10">
        <v>15815.34</v>
      </c>
      <c r="G25" s="10">
        <v>12732.26</v>
      </c>
      <c r="H25" s="10">
        <v>12960.13</v>
      </c>
      <c r="I25" s="10">
        <v>35250.71</v>
      </c>
      <c r="J25" s="10">
        <v>19194.78</v>
      </c>
      <c r="K25" s="10">
        <v>16483.77</v>
      </c>
      <c r="L25" s="10">
        <v>29496.06</v>
      </c>
      <c r="M25" s="11">
        <v>15122.02</v>
      </c>
      <c r="N25" s="30">
        <v>202326.94</v>
      </c>
    </row>
    <row r="26" spans="1:14">
      <c r="A26" s="37" t="s">
        <v>39</v>
      </c>
      <c r="B26" s="9">
        <v>52151.82</v>
      </c>
      <c r="C26" s="10">
        <v>93436.49</v>
      </c>
      <c r="D26" s="10">
        <v>50440.54</v>
      </c>
      <c r="E26" s="10">
        <v>47660.79</v>
      </c>
      <c r="F26" s="10">
        <v>84593.32</v>
      </c>
      <c r="G26" s="10">
        <v>90489.98</v>
      </c>
      <c r="H26" s="10">
        <v>68163.929999999993</v>
      </c>
      <c r="I26" s="10">
        <v>120972.68</v>
      </c>
      <c r="J26" s="10">
        <v>50466.81</v>
      </c>
      <c r="K26" s="10">
        <v>75188.97</v>
      </c>
      <c r="L26" s="10">
        <v>108812.81</v>
      </c>
      <c r="M26" s="11">
        <v>58335.09</v>
      </c>
      <c r="N26" s="30">
        <v>900713.23</v>
      </c>
    </row>
    <row r="27" spans="1:14">
      <c r="A27" s="37" t="s">
        <v>40</v>
      </c>
      <c r="B27" s="9">
        <v>213.94</v>
      </c>
      <c r="C27" s="10">
        <v>3340.67</v>
      </c>
      <c r="D27" s="10">
        <v>961.79</v>
      </c>
      <c r="E27" s="10">
        <v>300.25</v>
      </c>
      <c r="F27" s="10">
        <v>788.89</v>
      </c>
      <c r="G27" s="10">
        <v>2159.13</v>
      </c>
      <c r="H27" s="10">
        <v>1087</v>
      </c>
      <c r="I27" s="10">
        <v>9324.7199999999993</v>
      </c>
      <c r="J27" s="10">
        <v>257.33999999999997</v>
      </c>
      <c r="K27" s="10">
        <v>1181.6300000000001</v>
      </c>
      <c r="L27" s="10">
        <v>11427.55</v>
      </c>
      <c r="M27" s="11">
        <v>1130.4100000000001</v>
      </c>
      <c r="N27" s="30">
        <v>32173.32</v>
      </c>
    </row>
    <row r="28" spans="1:14" ht="13" thickBot="1">
      <c r="A28" s="38" t="s">
        <v>41</v>
      </c>
      <c r="B28" s="12">
        <v>90654.63</v>
      </c>
      <c r="C28" s="13">
        <v>191759.21</v>
      </c>
      <c r="D28" s="13">
        <v>88808.57</v>
      </c>
      <c r="E28" s="13">
        <v>94369.78</v>
      </c>
      <c r="F28" s="13">
        <v>133134.26999999999</v>
      </c>
      <c r="G28" s="13">
        <v>146835.06</v>
      </c>
      <c r="H28" s="13">
        <v>99878.38</v>
      </c>
      <c r="I28" s="13">
        <v>203131.06</v>
      </c>
      <c r="J28" s="13">
        <v>99619.38</v>
      </c>
      <c r="K28" s="13">
        <v>101560.43</v>
      </c>
      <c r="L28" s="13">
        <v>187348.14</v>
      </c>
      <c r="M28" s="14">
        <v>101173.69</v>
      </c>
      <c r="N28" s="31">
        <v>1538272.6</v>
      </c>
    </row>
    <row r="29" spans="1:14" ht="14" thickTop="1" thickBot="1">
      <c r="A29" s="3" t="s">
        <v>0</v>
      </c>
      <c r="B29" s="15">
        <v>1226367.1100000001</v>
      </c>
      <c r="C29" s="16">
        <v>2453298.62</v>
      </c>
      <c r="D29" s="16">
        <v>1364497.87</v>
      </c>
      <c r="E29" s="16">
        <v>1372116.59</v>
      </c>
      <c r="F29" s="16">
        <v>1901532.18</v>
      </c>
      <c r="G29" s="16">
        <v>2236339.11</v>
      </c>
      <c r="H29" s="16">
        <v>1421290.64</v>
      </c>
      <c r="I29" s="16">
        <v>2617723.23</v>
      </c>
      <c r="J29" s="16">
        <v>1426067.92</v>
      </c>
      <c r="K29" s="16">
        <v>1512262.8</v>
      </c>
      <c r="L29" s="16">
        <v>2477069.67</v>
      </c>
      <c r="M29" s="17">
        <v>1452189.68</v>
      </c>
      <c r="N29" s="32">
        <v>21460755.420000002</v>
      </c>
    </row>
  </sheetData>
  <mergeCells count="1">
    <mergeCell ref="A1:N1"/>
  </mergeCells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 enableFormatConditionsCalculation="0">
    <tabColor rgb="FF00B050"/>
    <pageSetUpPr fitToPage="1"/>
  </sheetPr>
  <dimension ref="A1:R127"/>
  <sheetViews>
    <sheetView zoomScale="125" zoomScaleNormal="125" zoomScalePageLayoutView="125" workbookViewId="0">
      <pane ySplit="3" topLeftCell="A4" activePane="bottomLeft" state="frozen"/>
      <selection pane="bottomLeft" activeCell="O53" sqref="O53"/>
    </sheetView>
  </sheetViews>
  <sheetFormatPr baseColWidth="10" defaultColWidth="10.6640625" defaultRowHeight="12" x14ac:dyDescent="0"/>
  <cols>
    <col min="1" max="1" width="17.6640625" bestFit="1" customWidth="1"/>
    <col min="2" max="12" width="9" customWidth="1"/>
    <col min="13" max="13" width="12.5" style="48" customWidth="1"/>
    <col min="14" max="14" width="10.5" customWidth="1"/>
    <col min="15" max="15" width="9.5" bestFit="1" customWidth="1"/>
    <col min="16" max="16" width="9" style="196" customWidth="1"/>
  </cols>
  <sheetData>
    <row r="1" spans="1:17" ht="17">
      <c r="A1" s="710" t="s">
        <v>362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</row>
    <row r="2" spans="1:17" ht="13" thickBot="1"/>
    <row r="3" spans="1:17" ht="13" thickBot="1">
      <c r="A3" s="454" t="s">
        <v>152</v>
      </c>
      <c r="B3" s="462" t="s">
        <v>2</v>
      </c>
      <c r="C3" s="239" t="s">
        <v>3</v>
      </c>
      <c r="D3" s="239" t="s">
        <v>4</v>
      </c>
      <c r="E3" s="239" t="s">
        <v>5</v>
      </c>
      <c r="F3" s="239" t="s">
        <v>6</v>
      </c>
      <c r="G3" s="239" t="s">
        <v>7</v>
      </c>
      <c r="H3" s="239" t="s">
        <v>8</v>
      </c>
      <c r="I3" s="239" t="s">
        <v>9</v>
      </c>
      <c r="J3" s="239" t="s">
        <v>10</v>
      </c>
      <c r="K3" s="239" t="s">
        <v>11</v>
      </c>
      <c r="L3" s="239" t="s">
        <v>12</v>
      </c>
      <c r="M3" s="240" t="s">
        <v>13</v>
      </c>
      <c r="N3" s="670" t="s">
        <v>359</v>
      </c>
      <c r="O3" s="680" t="s">
        <v>349</v>
      </c>
      <c r="P3" s="671" t="s">
        <v>16</v>
      </c>
      <c r="Q3" s="627" t="s">
        <v>58</v>
      </c>
    </row>
    <row r="4" spans="1:17" s="154" customFormat="1">
      <c r="A4" s="457" t="s">
        <v>153</v>
      </c>
      <c r="B4" s="458">
        <v>12667.18</v>
      </c>
      <c r="C4" s="458">
        <v>28854.16</v>
      </c>
      <c r="D4" s="458">
        <v>1913.96</v>
      </c>
      <c r="E4" s="458">
        <v>11445.08</v>
      </c>
      <c r="F4" s="458">
        <v>26475.1</v>
      </c>
      <c r="G4" s="458">
        <v>15144.51</v>
      </c>
      <c r="H4" s="458">
        <v>16147.5</v>
      </c>
      <c r="I4" s="458">
        <v>43691.47</v>
      </c>
      <c r="J4" s="458">
        <v>28079.51</v>
      </c>
      <c r="K4" s="458"/>
      <c r="L4" s="458"/>
      <c r="M4" s="458"/>
      <c r="N4" s="459">
        <f t="shared" ref="N4:N35" si="0">SUM(B4:M4)</f>
        <v>184418.47</v>
      </c>
      <c r="O4" s="668">
        <f>SUM('MTRT 2016'!B4:J4)</f>
        <v>202020.44</v>
      </c>
      <c r="P4" s="669">
        <f>N4/O4-1</f>
        <v>-8.7129648861273612E-2</v>
      </c>
      <c r="Q4" s="597">
        <f t="shared" ref="Q4:Q35" si="1">N4/$N$106</f>
        <v>2.3057131754356138E-2</v>
      </c>
    </row>
    <row r="5" spans="1:17" s="222" customFormat="1">
      <c r="A5" s="241" t="s">
        <v>154</v>
      </c>
      <c r="B5" s="485">
        <v>235.49</v>
      </c>
      <c r="C5" s="485">
        <v>100.81</v>
      </c>
      <c r="D5" s="485">
        <v>118.97</v>
      </c>
      <c r="E5" s="485">
        <v>130.29</v>
      </c>
      <c r="F5" s="485">
        <v>290.77999999999997</v>
      </c>
      <c r="G5" s="485">
        <v>281.79000000000002</v>
      </c>
      <c r="H5" s="485">
        <v>175.09</v>
      </c>
      <c r="I5" s="485">
        <v>212.21</v>
      </c>
      <c r="J5" s="485">
        <v>392.34</v>
      </c>
      <c r="K5" s="485"/>
      <c r="L5" s="485"/>
      <c r="M5" s="485"/>
      <c r="N5" s="603">
        <f t="shared" si="0"/>
        <v>1937.7699999999998</v>
      </c>
      <c r="O5" s="657">
        <f>SUM('MTRT 2016'!B5:J5)</f>
        <v>4561.66</v>
      </c>
      <c r="P5" s="638">
        <f>N5/O5-1</f>
        <v>-0.57520507885287375</v>
      </c>
      <c r="Q5" s="566">
        <f t="shared" si="1"/>
        <v>2.4227192753328172E-4</v>
      </c>
    </row>
    <row r="6" spans="1:17" s="154" customFormat="1">
      <c r="A6" s="560" t="s">
        <v>155</v>
      </c>
      <c r="B6" s="460">
        <v>20669.12</v>
      </c>
      <c r="C6" s="460">
        <v>22014.240000000002</v>
      </c>
      <c r="D6" s="460">
        <v>15632.08</v>
      </c>
      <c r="E6" s="460">
        <v>24918.16</v>
      </c>
      <c r="F6" s="667">
        <v>28986.65</v>
      </c>
      <c r="G6" s="460">
        <v>21683.95</v>
      </c>
      <c r="H6" s="460">
        <v>33667.1</v>
      </c>
      <c r="I6" s="460">
        <v>42369.62</v>
      </c>
      <c r="J6" s="460">
        <v>35641.39</v>
      </c>
      <c r="K6" s="460"/>
      <c r="L6" s="460"/>
      <c r="M6" s="460"/>
      <c r="N6" s="461">
        <f t="shared" si="0"/>
        <v>245582.31</v>
      </c>
      <c r="O6" s="460">
        <f>SUM('MTRT 2016'!B6:J6)</f>
        <v>205032.5</v>
      </c>
      <c r="P6" s="655">
        <f t="shared" ref="P6:P44" si="2">N6/O6-1</f>
        <v>0.19777259702730055</v>
      </c>
      <c r="Q6" s="598">
        <f t="shared" si="1"/>
        <v>3.0704211341787691E-2</v>
      </c>
    </row>
    <row r="7" spans="1:17">
      <c r="A7" s="241" t="s">
        <v>156</v>
      </c>
      <c r="B7" s="489">
        <v>1497.75</v>
      </c>
      <c r="C7" s="489">
        <v>2166.63</v>
      </c>
      <c r="D7" s="489">
        <v>1674.46</v>
      </c>
      <c r="E7" s="489">
        <v>1728.99</v>
      </c>
      <c r="F7" s="489">
        <v>3490.34</v>
      </c>
      <c r="G7" s="489">
        <v>2590.9299999999998</v>
      </c>
      <c r="H7" s="489">
        <v>2887.96</v>
      </c>
      <c r="I7" s="489">
        <v>3754.44</v>
      </c>
      <c r="J7" s="489">
        <v>4043.89</v>
      </c>
      <c r="K7" s="489"/>
      <c r="L7" s="489"/>
      <c r="M7" s="489"/>
      <c r="N7" s="603">
        <f t="shared" si="0"/>
        <v>23835.39</v>
      </c>
      <c r="O7" s="657">
        <f>SUM('MTRT 2016'!B7:J7)</f>
        <v>18141.43</v>
      </c>
      <c r="P7" s="638">
        <f t="shared" si="2"/>
        <v>0.31386500402669459</v>
      </c>
      <c r="Q7" s="623">
        <f t="shared" si="1"/>
        <v>2.9800471050782642E-3</v>
      </c>
    </row>
    <row r="8" spans="1:17">
      <c r="A8" s="241" t="s">
        <v>157</v>
      </c>
      <c r="B8" s="489">
        <v>262.18</v>
      </c>
      <c r="C8" s="489">
        <v>123.36</v>
      </c>
      <c r="D8" s="489">
        <v>0</v>
      </c>
      <c r="E8" s="489">
        <v>1139.44</v>
      </c>
      <c r="F8" s="489">
        <v>65.44</v>
      </c>
      <c r="G8" s="489">
        <v>0</v>
      </c>
      <c r="H8" s="489">
        <v>2204.6999999999998</v>
      </c>
      <c r="I8" s="489">
        <v>770.62</v>
      </c>
      <c r="J8" s="489">
        <v>0</v>
      </c>
      <c r="K8" s="489"/>
      <c r="L8" s="489"/>
      <c r="M8" s="489"/>
      <c r="N8" s="603">
        <f t="shared" si="0"/>
        <v>4565.74</v>
      </c>
      <c r="O8" s="657">
        <f>SUM('MTRT 2016'!B8:J8)</f>
        <v>5386.73</v>
      </c>
      <c r="P8" s="638">
        <f t="shared" si="2"/>
        <v>-0.15240971795504876</v>
      </c>
      <c r="Q8" s="623">
        <f t="shared" si="1"/>
        <v>5.7083690552325904E-4</v>
      </c>
    </row>
    <row r="9" spans="1:17">
      <c r="A9" s="241" t="s">
        <v>158</v>
      </c>
      <c r="B9" s="489">
        <v>2866.54</v>
      </c>
      <c r="C9" s="489">
        <v>2684.3</v>
      </c>
      <c r="D9" s="489">
        <v>1907.39</v>
      </c>
      <c r="E9" s="489">
        <v>2897.72</v>
      </c>
      <c r="F9" s="489">
        <v>2623.96</v>
      </c>
      <c r="G9" s="489">
        <v>2047.56</v>
      </c>
      <c r="H9" s="489">
        <v>2278.16</v>
      </c>
      <c r="I9" s="489">
        <v>4530.3999999999996</v>
      </c>
      <c r="J9" s="489">
        <v>2840.06</v>
      </c>
      <c r="K9" s="489"/>
      <c r="L9" s="489"/>
      <c r="M9" s="489"/>
      <c r="N9" s="603">
        <f t="shared" si="0"/>
        <v>24676.09</v>
      </c>
      <c r="O9" s="657">
        <f>SUM('MTRT 2016'!B9:J9)</f>
        <v>18649.989999999998</v>
      </c>
      <c r="P9" s="638">
        <f t="shared" si="2"/>
        <v>0.32311545475359527</v>
      </c>
      <c r="Q9" s="623">
        <f t="shared" si="1"/>
        <v>3.0851565914864708E-3</v>
      </c>
    </row>
    <row r="10" spans="1:17" s="154" customFormat="1">
      <c r="A10" s="560" t="s">
        <v>159</v>
      </c>
      <c r="B10" s="460">
        <v>38818.449999999997</v>
      </c>
      <c r="C10" s="460">
        <v>31656.7</v>
      </c>
      <c r="D10" s="460">
        <v>36587.35</v>
      </c>
      <c r="E10" s="460">
        <v>41285.440000000002</v>
      </c>
      <c r="F10" s="460">
        <v>46783.01</v>
      </c>
      <c r="G10" s="460">
        <v>26466.89</v>
      </c>
      <c r="H10" s="460">
        <v>66796.179999999993</v>
      </c>
      <c r="I10" s="460">
        <v>69734.92</v>
      </c>
      <c r="J10" s="460">
        <v>104139.92</v>
      </c>
      <c r="K10" s="460"/>
      <c r="L10" s="460"/>
      <c r="M10" s="460"/>
      <c r="N10" s="461">
        <f t="shared" si="0"/>
        <v>462268.86</v>
      </c>
      <c r="O10" s="460">
        <f>SUM('MTRT 2016'!B10:J10)</f>
        <v>383558.39</v>
      </c>
      <c r="P10" s="655">
        <f t="shared" si="2"/>
        <v>0.20521118049327502</v>
      </c>
      <c r="Q10" s="598">
        <f t="shared" si="1"/>
        <v>5.7795696987161922E-2</v>
      </c>
    </row>
    <row r="11" spans="1:17">
      <c r="A11" s="241" t="s">
        <v>160</v>
      </c>
      <c r="B11" s="489">
        <v>9784.7999999999993</v>
      </c>
      <c r="C11" s="489">
        <v>8199.91</v>
      </c>
      <c r="D11" s="489">
        <v>10468.11</v>
      </c>
      <c r="E11" s="489">
        <v>11919.23</v>
      </c>
      <c r="F11" s="489">
        <v>13178.1</v>
      </c>
      <c r="G11" s="489">
        <v>6779.95</v>
      </c>
      <c r="H11" s="489">
        <v>17874.64</v>
      </c>
      <c r="I11" s="489">
        <v>17641.689999999999</v>
      </c>
      <c r="J11" s="489">
        <v>21015.61</v>
      </c>
      <c r="K11" s="489"/>
      <c r="L11" s="489"/>
      <c r="M11" s="489"/>
      <c r="N11" s="603">
        <f t="shared" si="0"/>
        <v>116862.04</v>
      </c>
      <c r="O11" s="657">
        <f>SUM('MTRT 2016'!B11:J11)</f>
        <v>105810.99000000002</v>
      </c>
      <c r="P11" s="638">
        <f t="shared" si="2"/>
        <v>0.10444141955386654</v>
      </c>
      <c r="Q11" s="623">
        <f t="shared" si="1"/>
        <v>1.4610811234703536E-2</v>
      </c>
    </row>
    <row r="12" spans="1:17">
      <c r="A12" s="241" t="s">
        <v>161</v>
      </c>
      <c r="B12" s="489">
        <v>1538.41</v>
      </c>
      <c r="C12" s="489">
        <v>1086.68</v>
      </c>
      <c r="D12" s="489">
        <v>1275.42</v>
      </c>
      <c r="E12" s="489">
        <v>1530.62</v>
      </c>
      <c r="F12" s="489">
        <v>1874.61</v>
      </c>
      <c r="G12" s="489">
        <v>1735.83</v>
      </c>
      <c r="H12" s="489">
        <v>2324.6</v>
      </c>
      <c r="I12" s="489">
        <v>2556.11</v>
      </c>
      <c r="J12" s="489">
        <v>2518.56</v>
      </c>
      <c r="K12" s="489"/>
      <c r="L12" s="489"/>
      <c r="M12" s="489"/>
      <c r="N12" s="603">
        <f t="shared" si="0"/>
        <v>16440.84</v>
      </c>
      <c r="O12" s="657">
        <f>SUM('MTRT 2016'!B12:J12)</f>
        <v>15173.89</v>
      </c>
      <c r="P12" s="638">
        <f t="shared" si="2"/>
        <v>8.3495399004474224E-2</v>
      </c>
      <c r="Q12" s="623">
        <f t="shared" si="1"/>
        <v>2.0555349690965798E-3</v>
      </c>
    </row>
    <row r="13" spans="1:17" s="154" customFormat="1">
      <c r="A13" s="560" t="s">
        <v>162</v>
      </c>
      <c r="B13" s="460">
        <v>12870.48</v>
      </c>
      <c r="C13" s="460">
        <v>14806.43</v>
      </c>
      <c r="D13" s="460">
        <v>9109.5</v>
      </c>
      <c r="E13" s="460">
        <v>12003.09</v>
      </c>
      <c r="F13" s="460">
        <v>16409.080000000002</v>
      </c>
      <c r="G13" s="460">
        <v>19815.599999999999</v>
      </c>
      <c r="H13" s="460">
        <v>22324.43</v>
      </c>
      <c r="I13" s="460">
        <v>27468.94</v>
      </c>
      <c r="J13" s="460">
        <v>16433.150000000001</v>
      </c>
      <c r="K13" s="460"/>
      <c r="L13" s="460"/>
      <c r="M13" s="460"/>
      <c r="N13" s="461">
        <f t="shared" si="0"/>
        <v>151240.69999999998</v>
      </c>
      <c r="O13" s="460">
        <f>SUM('MTRT 2016'!B13:J13)</f>
        <v>173728.12999999998</v>
      </c>
      <c r="P13" s="655">
        <f t="shared" si="2"/>
        <v>-0.12944035027603185</v>
      </c>
      <c r="Q13" s="598">
        <f t="shared" si="1"/>
        <v>1.8909042822668736E-2</v>
      </c>
    </row>
    <row r="14" spans="1:17">
      <c r="A14" s="241" t="s">
        <v>346</v>
      </c>
      <c r="B14" s="489">
        <v>6.64</v>
      </c>
      <c r="C14" s="489">
        <v>14.97</v>
      </c>
      <c r="D14" s="489">
        <v>13.38</v>
      </c>
      <c r="E14" s="489">
        <v>29.55</v>
      </c>
      <c r="F14" s="489">
        <v>12.06</v>
      </c>
      <c r="G14" s="489">
        <v>0</v>
      </c>
      <c r="H14" s="489">
        <v>19.96</v>
      </c>
      <c r="I14" s="489">
        <v>27.76</v>
      </c>
      <c r="J14" s="489">
        <v>31.35</v>
      </c>
      <c r="K14" s="489"/>
      <c r="L14" s="489"/>
      <c r="M14" s="489"/>
      <c r="N14" s="654">
        <f t="shared" si="0"/>
        <v>155.67000000000002</v>
      </c>
      <c r="O14" s="657">
        <f>SUM('MTRT 2016'!B14:J14)</f>
        <v>31.07</v>
      </c>
      <c r="P14" s="638">
        <f t="shared" si="2"/>
        <v>4.0102993241068559</v>
      </c>
      <c r="Q14" s="566">
        <f t="shared" si="1"/>
        <v>1.9462821159944666E-5</v>
      </c>
    </row>
    <row r="15" spans="1:17" s="154" customFormat="1">
      <c r="A15" s="241" t="s">
        <v>163</v>
      </c>
      <c r="B15" s="489">
        <v>2839.77</v>
      </c>
      <c r="C15" s="489">
        <v>2764.38</v>
      </c>
      <c r="D15" s="489">
        <v>481.92</v>
      </c>
      <c r="E15" s="489">
        <v>2273.9499999999998</v>
      </c>
      <c r="F15" s="489">
        <v>3493.04</v>
      </c>
      <c r="G15" s="489">
        <v>4335.37</v>
      </c>
      <c r="H15" s="489">
        <v>4890.2700000000004</v>
      </c>
      <c r="I15" s="489">
        <v>5876.22</v>
      </c>
      <c r="J15" s="489">
        <v>3375.84</v>
      </c>
      <c r="K15" s="489"/>
      <c r="L15" s="489"/>
      <c r="M15" s="489"/>
      <c r="N15" s="603">
        <f t="shared" si="0"/>
        <v>30330.760000000002</v>
      </c>
      <c r="O15" s="657">
        <f>SUM('MTRT 2016'!B15:J15)</f>
        <v>38192.68</v>
      </c>
      <c r="P15" s="638">
        <f t="shared" si="2"/>
        <v>-0.20584886946922809</v>
      </c>
      <c r="Q15" s="566">
        <f t="shared" si="1"/>
        <v>3.7921382252534414E-3</v>
      </c>
    </row>
    <row r="16" spans="1:17" s="154" customFormat="1">
      <c r="A16" s="560" t="s">
        <v>164</v>
      </c>
      <c r="B16" s="460">
        <v>2735.45</v>
      </c>
      <c r="C16" s="460">
        <v>2079.1</v>
      </c>
      <c r="D16" s="460">
        <v>1343.1</v>
      </c>
      <c r="E16" s="460">
        <v>1341.08</v>
      </c>
      <c r="F16" s="460">
        <v>4616.3999999999996</v>
      </c>
      <c r="G16" s="460">
        <v>15347.11</v>
      </c>
      <c r="H16" s="460">
        <v>18034.509999999998</v>
      </c>
      <c r="I16" s="460">
        <v>29898.71</v>
      </c>
      <c r="J16" s="460">
        <v>17904.64</v>
      </c>
      <c r="K16" s="460"/>
      <c r="L16" s="460"/>
      <c r="M16" s="460"/>
      <c r="N16" s="461">
        <f t="shared" si="0"/>
        <v>93300.099999999991</v>
      </c>
      <c r="O16" s="460">
        <f>SUM('MTRT 2016'!B16:J16)</f>
        <v>76144.679999999993</v>
      </c>
      <c r="P16" s="655">
        <f t="shared" si="2"/>
        <v>0.22530030988376337</v>
      </c>
      <c r="Q16" s="598">
        <f t="shared" si="1"/>
        <v>1.1664952531026869E-2</v>
      </c>
    </row>
    <row r="17" spans="1:17">
      <c r="A17" s="560" t="s">
        <v>165</v>
      </c>
      <c r="B17" s="460">
        <v>86639.21</v>
      </c>
      <c r="C17" s="460">
        <v>83417.87</v>
      </c>
      <c r="D17" s="460">
        <v>102354.67</v>
      </c>
      <c r="E17" s="460">
        <v>144741.04999999999</v>
      </c>
      <c r="F17" s="460">
        <v>152166.67000000001</v>
      </c>
      <c r="G17" s="460">
        <v>98785.36</v>
      </c>
      <c r="H17" s="460">
        <v>160712.70000000001</v>
      </c>
      <c r="I17" s="460">
        <v>212144.49</v>
      </c>
      <c r="J17" s="460">
        <v>198976.75</v>
      </c>
      <c r="K17" s="460"/>
      <c r="L17" s="460"/>
      <c r="M17" s="460"/>
      <c r="N17" s="461">
        <f t="shared" si="0"/>
        <v>1239938.77</v>
      </c>
      <c r="O17" s="458">
        <f>SUM('MTRT 2016'!B17:J17)</f>
        <v>1086745.7</v>
      </c>
      <c r="P17" s="655">
        <f t="shared" si="2"/>
        <v>0.14096496540082937</v>
      </c>
      <c r="Q17" s="598">
        <f t="shared" si="1"/>
        <v>0.15502477375083035</v>
      </c>
    </row>
    <row r="18" spans="1:17">
      <c r="A18" s="241" t="s">
        <v>166</v>
      </c>
      <c r="B18" s="489">
        <v>421.88</v>
      </c>
      <c r="C18" s="489">
        <v>605.25</v>
      </c>
      <c r="D18" s="489">
        <v>291.87</v>
      </c>
      <c r="E18" s="489">
        <v>309</v>
      </c>
      <c r="F18" s="489">
        <v>681.67</v>
      </c>
      <c r="G18" s="489">
        <v>516.55999999999995</v>
      </c>
      <c r="H18" s="489">
        <v>603.48</v>
      </c>
      <c r="I18" s="489">
        <v>992.09</v>
      </c>
      <c r="J18" s="489">
        <v>875.55</v>
      </c>
      <c r="K18" s="489"/>
      <c r="L18" s="485"/>
      <c r="M18" s="489"/>
      <c r="N18" s="603">
        <f t="shared" si="0"/>
        <v>5297.35</v>
      </c>
      <c r="O18" s="657">
        <f>SUM('MTRT 2016'!B18:J18)</f>
        <v>5211.41</v>
      </c>
      <c r="P18" s="638">
        <f t="shared" si="2"/>
        <v>1.6490738590899667E-2</v>
      </c>
      <c r="Q18" s="623">
        <f t="shared" si="1"/>
        <v>6.6230728895505151E-4</v>
      </c>
    </row>
    <row r="19" spans="1:17">
      <c r="A19" s="241" t="s">
        <v>167</v>
      </c>
      <c r="B19" s="489">
        <v>1712.95</v>
      </c>
      <c r="C19" s="489">
        <v>2478.67</v>
      </c>
      <c r="D19" s="489">
        <v>3253.75</v>
      </c>
      <c r="E19" s="489">
        <v>3140.04</v>
      </c>
      <c r="F19" s="489">
        <v>4269.88</v>
      </c>
      <c r="G19" s="489">
        <v>3484.51</v>
      </c>
      <c r="H19" s="489">
        <v>5391.11</v>
      </c>
      <c r="I19" s="489">
        <v>6943.59</v>
      </c>
      <c r="J19" s="489">
        <v>11844.96</v>
      </c>
      <c r="K19" s="489"/>
      <c r="L19" s="485"/>
      <c r="M19" s="489"/>
      <c r="N19" s="603">
        <f t="shared" si="0"/>
        <v>42519.460000000006</v>
      </c>
      <c r="O19" s="657">
        <f>SUM('MTRT 2016'!B19:J19)</f>
        <v>22076.760000000002</v>
      </c>
      <c r="P19" s="638">
        <f t="shared" si="2"/>
        <v>0.9259827982004607</v>
      </c>
      <c r="Q19" s="623">
        <f t="shared" si="1"/>
        <v>5.3160444902513064E-3</v>
      </c>
    </row>
    <row r="20" spans="1:17">
      <c r="A20" s="241" t="s">
        <v>168</v>
      </c>
      <c r="B20" s="485">
        <v>10509.06</v>
      </c>
      <c r="C20" s="485">
        <v>12154.18</v>
      </c>
      <c r="D20" s="485">
        <v>10478.4</v>
      </c>
      <c r="E20" s="485">
        <v>22296.93</v>
      </c>
      <c r="F20" s="485">
        <v>22028.12</v>
      </c>
      <c r="G20" s="485">
        <v>16181.17</v>
      </c>
      <c r="H20" s="485">
        <v>21545.01</v>
      </c>
      <c r="I20" s="485">
        <v>25195.919999999998</v>
      </c>
      <c r="J20" s="485">
        <v>20601.490000000002</v>
      </c>
      <c r="K20" s="485"/>
      <c r="L20" s="485"/>
      <c r="M20" s="485"/>
      <c r="N20" s="603">
        <f t="shared" si="0"/>
        <v>160990.27999999997</v>
      </c>
      <c r="O20" s="657">
        <f>SUM('MTRT 2016'!B20:J20)</f>
        <v>159832.44</v>
      </c>
      <c r="P20" s="638">
        <f t="shared" si="2"/>
        <v>7.2440863694502866E-3</v>
      </c>
      <c r="Q20" s="623">
        <f t="shared" si="1"/>
        <v>2.0127995298576576E-2</v>
      </c>
    </row>
    <row r="21" spans="1:17">
      <c r="A21" s="241" t="s">
        <v>274</v>
      </c>
      <c r="B21" s="485">
        <v>2699.87</v>
      </c>
      <c r="C21" s="485">
        <v>155.66</v>
      </c>
      <c r="D21" s="485">
        <v>3432.49</v>
      </c>
      <c r="E21" s="485">
        <v>2402.56</v>
      </c>
      <c r="F21" s="485">
        <v>2371.66</v>
      </c>
      <c r="G21" s="485">
        <v>698.4</v>
      </c>
      <c r="H21" s="485">
        <v>3521.93</v>
      </c>
      <c r="I21" s="485">
        <v>4340.2</v>
      </c>
      <c r="J21" s="485">
        <v>4724.09</v>
      </c>
      <c r="K21" s="485"/>
      <c r="L21" s="485"/>
      <c r="M21" s="485"/>
      <c r="N21" s="603">
        <f t="shared" si="0"/>
        <v>24346.86</v>
      </c>
      <c r="O21" s="657">
        <f>SUM('MTRT 2016'!B21:J21)</f>
        <v>14813.830000000002</v>
      </c>
      <c r="P21" s="638">
        <f t="shared" si="2"/>
        <v>0.64352230314510139</v>
      </c>
      <c r="Q21" s="623">
        <f t="shared" si="1"/>
        <v>3.0439942312983255E-3</v>
      </c>
    </row>
    <row r="22" spans="1:17">
      <c r="A22" s="241" t="s">
        <v>170</v>
      </c>
      <c r="B22" s="490">
        <v>0</v>
      </c>
      <c r="C22" s="485">
        <v>719.34</v>
      </c>
      <c r="D22" s="485">
        <v>0</v>
      </c>
      <c r="E22" s="485">
        <v>0</v>
      </c>
      <c r="F22" s="485">
        <v>778.81</v>
      </c>
      <c r="G22" s="485">
        <v>0</v>
      </c>
      <c r="H22" s="485">
        <v>16.170000000000002</v>
      </c>
      <c r="I22" s="485">
        <v>1315.39</v>
      </c>
      <c r="J22" s="485">
        <v>16</v>
      </c>
      <c r="K22" s="485"/>
      <c r="L22" s="485"/>
      <c r="M22" s="485"/>
      <c r="N22" s="603">
        <f t="shared" si="0"/>
        <v>2845.71</v>
      </c>
      <c r="O22" s="657">
        <f>SUM('MTRT 2016'!B22:J22)</f>
        <v>2185.73</v>
      </c>
      <c r="P22" s="638">
        <f t="shared" si="2"/>
        <v>0.30194946310843518</v>
      </c>
      <c r="Q22" s="623">
        <f t="shared" si="1"/>
        <v>3.5578817243570455E-4</v>
      </c>
    </row>
    <row r="23" spans="1:17">
      <c r="A23" s="241" t="s">
        <v>171</v>
      </c>
      <c r="B23" s="490">
        <v>3264.28</v>
      </c>
      <c r="C23" s="485">
        <v>1997.21</v>
      </c>
      <c r="D23" s="485">
        <v>4219.07</v>
      </c>
      <c r="E23" s="485">
        <v>3561.74</v>
      </c>
      <c r="F23" s="485">
        <v>3726.06</v>
      </c>
      <c r="G23" s="485">
        <v>2108.11</v>
      </c>
      <c r="H23" s="485">
        <v>4145.03</v>
      </c>
      <c r="I23" s="485">
        <v>5647.3</v>
      </c>
      <c r="J23" s="485">
        <v>5433.18</v>
      </c>
      <c r="K23" s="485"/>
      <c r="L23" s="485"/>
      <c r="M23" s="485"/>
      <c r="N23" s="603">
        <f t="shared" si="0"/>
        <v>34101.979999999996</v>
      </c>
      <c r="O23" s="657">
        <f>SUM('MTRT 2016'!B23:J23)</f>
        <v>32451.379999999997</v>
      </c>
      <c r="P23" s="638">
        <f t="shared" si="2"/>
        <v>5.0863784529348255E-2</v>
      </c>
      <c r="Q23" s="623">
        <f t="shared" si="1"/>
        <v>4.2636393520910235E-3</v>
      </c>
    </row>
    <row r="24" spans="1:17" s="154" customFormat="1">
      <c r="A24" s="241" t="s">
        <v>172</v>
      </c>
      <c r="B24" s="485">
        <v>1235.82</v>
      </c>
      <c r="C24" s="485">
        <v>1091.1400000000001</v>
      </c>
      <c r="D24" s="485">
        <v>2192.1</v>
      </c>
      <c r="E24" s="485">
        <v>1617.74</v>
      </c>
      <c r="F24" s="485">
        <v>1194.48</v>
      </c>
      <c r="G24" s="485">
        <v>0</v>
      </c>
      <c r="H24" s="485">
        <v>1673.17</v>
      </c>
      <c r="I24" s="485">
        <v>2221.67</v>
      </c>
      <c r="J24" s="485">
        <v>2653.29</v>
      </c>
      <c r="K24" s="485"/>
      <c r="L24" s="489"/>
      <c r="M24" s="485"/>
      <c r="N24" s="603">
        <f t="shared" si="0"/>
        <v>13879.41</v>
      </c>
      <c r="O24" s="657">
        <f>SUM('MTRT 2016'!B24:J24)</f>
        <v>14814.4</v>
      </c>
      <c r="P24" s="638">
        <f t="shared" si="2"/>
        <v>-6.3113592180580991E-2</v>
      </c>
      <c r="Q24" s="623">
        <f t="shared" si="1"/>
        <v>1.735289231294068E-3</v>
      </c>
    </row>
    <row r="25" spans="1:17">
      <c r="A25" s="560" t="s">
        <v>173</v>
      </c>
      <c r="B25" s="460">
        <v>1290.01</v>
      </c>
      <c r="C25" s="460">
        <v>8055.31</v>
      </c>
      <c r="D25" s="460">
        <v>2367.42</v>
      </c>
      <c r="E25" s="460">
        <v>1492.79</v>
      </c>
      <c r="F25" s="460">
        <v>4364.63</v>
      </c>
      <c r="G25" s="460">
        <v>2050.46</v>
      </c>
      <c r="H25" s="460">
        <v>3167.06</v>
      </c>
      <c r="I25" s="460">
        <v>17335.169999999998</v>
      </c>
      <c r="J25" s="460">
        <v>10334.16</v>
      </c>
      <c r="K25" s="460"/>
      <c r="L25" s="460"/>
      <c r="M25" s="460"/>
      <c r="N25" s="461">
        <f t="shared" si="0"/>
        <v>50457.009999999995</v>
      </c>
      <c r="O25" s="460">
        <f>SUM('MTRT 2016'!B25:J25)</f>
        <v>46045.82</v>
      </c>
      <c r="P25" s="655">
        <f t="shared" si="2"/>
        <v>9.5800009642569073E-2</v>
      </c>
      <c r="Q25" s="598">
        <f t="shared" si="1"/>
        <v>6.3084458270414295E-3</v>
      </c>
    </row>
    <row r="26" spans="1:17" s="154" customFormat="1">
      <c r="A26" s="241" t="s">
        <v>174</v>
      </c>
      <c r="B26" s="489">
        <v>147.18</v>
      </c>
      <c r="C26" s="489">
        <v>629.67999999999995</v>
      </c>
      <c r="D26" s="489">
        <v>419.14</v>
      </c>
      <c r="E26" s="489">
        <v>302.77999999999997</v>
      </c>
      <c r="F26" s="489">
        <v>749.8</v>
      </c>
      <c r="G26" s="489">
        <v>373.4</v>
      </c>
      <c r="H26" s="489">
        <v>389.36</v>
      </c>
      <c r="I26" s="489">
        <v>639.91999999999996</v>
      </c>
      <c r="J26" s="489">
        <v>2149.69</v>
      </c>
      <c r="K26" s="489"/>
      <c r="L26" s="489"/>
      <c r="M26" s="489"/>
      <c r="N26" s="603">
        <f t="shared" si="0"/>
        <v>5800.9500000000007</v>
      </c>
      <c r="O26" s="657">
        <f>SUM('MTRT 2016'!B26:J26)</f>
        <v>3866.41</v>
      </c>
      <c r="P26" s="638">
        <f t="shared" si="2"/>
        <v>0.50034528154024049</v>
      </c>
      <c r="Q26" s="566">
        <f t="shared" si="1"/>
        <v>7.2527045935492386E-4</v>
      </c>
    </row>
    <row r="27" spans="1:17">
      <c r="A27" s="560" t="s">
        <v>175</v>
      </c>
      <c r="B27" s="460">
        <v>7939.63</v>
      </c>
      <c r="C27" s="460">
        <v>18508.490000000002</v>
      </c>
      <c r="D27" s="460">
        <v>6300.35</v>
      </c>
      <c r="E27" s="460">
        <v>24418.79</v>
      </c>
      <c r="F27" s="460">
        <v>34874.089999999997</v>
      </c>
      <c r="G27" s="460">
        <v>48657.08</v>
      </c>
      <c r="H27" s="460">
        <v>55788.04</v>
      </c>
      <c r="I27" s="460">
        <v>54728.62</v>
      </c>
      <c r="J27" s="460">
        <v>43885.09</v>
      </c>
      <c r="K27" s="460"/>
      <c r="L27" s="460"/>
      <c r="M27" s="460"/>
      <c r="N27" s="461">
        <f t="shared" si="0"/>
        <v>295100.18</v>
      </c>
      <c r="O27" s="460">
        <f>SUM('MTRT 2016'!B27:J27)</f>
        <v>289379.78999999998</v>
      </c>
      <c r="P27" s="655">
        <f t="shared" si="2"/>
        <v>1.9767759179035949E-2</v>
      </c>
      <c r="Q27" s="598">
        <f t="shared" si="1"/>
        <v>3.6895240107968644E-2</v>
      </c>
    </row>
    <row r="28" spans="1:17" s="154" customFormat="1">
      <c r="A28" s="241" t="s">
        <v>176</v>
      </c>
      <c r="B28" s="489">
        <v>1754.3</v>
      </c>
      <c r="C28" s="489">
        <v>2972.96</v>
      </c>
      <c r="D28" s="489">
        <v>1328.24</v>
      </c>
      <c r="E28" s="489">
        <v>5699.68</v>
      </c>
      <c r="F28" s="489">
        <v>7254.53</v>
      </c>
      <c r="G28" s="489">
        <v>11089.91</v>
      </c>
      <c r="H28" s="489">
        <v>12526.27</v>
      </c>
      <c r="I28" s="489">
        <v>11761.77</v>
      </c>
      <c r="J28" s="489">
        <v>10304.33</v>
      </c>
      <c r="K28" s="489"/>
      <c r="L28" s="489"/>
      <c r="M28" s="659"/>
      <c r="N28" s="603">
        <f t="shared" si="0"/>
        <v>64691.990000000005</v>
      </c>
      <c r="O28" s="657">
        <f>SUM('MTRT 2016'!B28:J28)</f>
        <v>63141.149999999994</v>
      </c>
      <c r="P28" s="638">
        <f t="shared" si="2"/>
        <v>2.4561478528661862E-2</v>
      </c>
      <c r="Q28" s="566">
        <f t="shared" si="1"/>
        <v>8.0881906073805403E-3</v>
      </c>
    </row>
    <row r="29" spans="1:17">
      <c r="A29" s="560" t="s">
        <v>177</v>
      </c>
      <c r="B29" s="460">
        <v>51657</v>
      </c>
      <c r="C29" s="460">
        <v>67605</v>
      </c>
      <c r="D29" s="460">
        <v>28999.200000000001</v>
      </c>
      <c r="E29" s="460">
        <v>44208.42</v>
      </c>
      <c r="F29" s="460">
        <v>88570.4</v>
      </c>
      <c r="G29" s="460">
        <v>157884.85</v>
      </c>
      <c r="H29" s="460">
        <v>239596.46</v>
      </c>
      <c r="I29" s="460">
        <v>331522.48</v>
      </c>
      <c r="J29" s="460">
        <v>238276.07</v>
      </c>
      <c r="K29" s="460"/>
      <c r="L29" s="460"/>
      <c r="M29" s="461"/>
      <c r="N29" s="461">
        <f t="shared" si="0"/>
        <v>1248319.8799999999</v>
      </c>
      <c r="O29" s="460">
        <f>SUM('MTRT 2016'!B29:J29)</f>
        <v>1130724.1800000002</v>
      </c>
      <c r="P29" s="655">
        <f t="shared" si="2"/>
        <v>0.10400034073738462</v>
      </c>
      <c r="Q29" s="598">
        <f t="shared" si="1"/>
        <v>0.15607263168782412</v>
      </c>
    </row>
    <row r="30" spans="1:17" s="154" customFormat="1">
      <c r="A30" s="241" t="s">
        <v>178</v>
      </c>
      <c r="B30" s="489">
        <v>362.12</v>
      </c>
      <c r="C30" s="489">
        <v>1712.72</v>
      </c>
      <c r="D30" s="489">
        <v>218.99</v>
      </c>
      <c r="E30" s="489">
        <v>1536.31</v>
      </c>
      <c r="F30" s="489">
        <v>1414.56</v>
      </c>
      <c r="G30" s="489">
        <v>959.17</v>
      </c>
      <c r="H30" s="489">
        <v>2559.5300000000002</v>
      </c>
      <c r="I30" s="489">
        <v>7075.74</v>
      </c>
      <c r="J30" s="489">
        <v>1260.67</v>
      </c>
      <c r="K30" s="489"/>
      <c r="L30" s="489"/>
      <c r="M30" s="659"/>
      <c r="N30" s="603">
        <f t="shared" si="0"/>
        <v>17099.809999999998</v>
      </c>
      <c r="O30" s="657">
        <f>SUM('MTRT 2016'!B30:J30)</f>
        <v>13533.43</v>
      </c>
      <c r="P30" s="638">
        <f t="shared" si="2"/>
        <v>0.26352373345116487</v>
      </c>
      <c r="Q30" s="566">
        <f t="shared" si="1"/>
        <v>2.1379234528106461E-3</v>
      </c>
    </row>
    <row r="31" spans="1:17">
      <c r="A31" s="560" t="s">
        <v>179</v>
      </c>
      <c r="B31" s="460">
        <v>229075.26</v>
      </c>
      <c r="C31" s="460">
        <v>179624.53</v>
      </c>
      <c r="D31" s="460">
        <v>62188.27</v>
      </c>
      <c r="E31" s="460" t="s">
        <v>367</v>
      </c>
      <c r="F31" s="460">
        <v>452239.99</v>
      </c>
      <c r="G31" s="460">
        <v>483819.28</v>
      </c>
      <c r="H31" s="460">
        <v>586563.92000000004</v>
      </c>
      <c r="I31" s="460">
        <v>705444.75</v>
      </c>
      <c r="J31" s="460">
        <v>468946.94</v>
      </c>
      <c r="K31" s="460"/>
      <c r="L31" s="460"/>
      <c r="M31" s="461"/>
      <c r="N31" s="461">
        <f t="shared" si="0"/>
        <v>3167902.94</v>
      </c>
      <c r="O31" s="460">
        <f>SUM('MTRT 2016'!B31:J31)</f>
        <v>2830865.26</v>
      </c>
      <c r="P31" s="655">
        <f t="shared" si="2"/>
        <v>0.11905818505823196</v>
      </c>
      <c r="Q31" s="598">
        <f t="shared" si="1"/>
        <v>0.39607071608712602</v>
      </c>
    </row>
    <row r="32" spans="1:17" s="154" customFormat="1">
      <c r="A32" s="241" t="s">
        <v>180</v>
      </c>
      <c r="B32" s="489">
        <v>59691.49</v>
      </c>
      <c r="C32" s="489">
        <v>29768.97</v>
      </c>
      <c r="D32" s="489">
        <v>16507.150000000001</v>
      </c>
      <c r="E32" s="489">
        <v>42330.63</v>
      </c>
      <c r="F32" s="489">
        <v>111921.16</v>
      </c>
      <c r="G32" s="489">
        <v>126347.55</v>
      </c>
      <c r="H32" s="489">
        <v>150353.42000000001</v>
      </c>
      <c r="I32" s="489">
        <v>153970.67000000001</v>
      </c>
      <c r="J32" s="489">
        <v>126252.89</v>
      </c>
      <c r="K32" s="489"/>
      <c r="L32" s="489"/>
      <c r="M32" s="659"/>
      <c r="N32" s="603">
        <f t="shared" si="0"/>
        <v>817143.93</v>
      </c>
      <c r="O32" s="657">
        <f>SUM('MTRT 2016'!B32:J32)</f>
        <v>681466.55</v>
      </c>
      <c r="P32" s="638">
        <f t="shared" si="2"/>
        <v>0.19909616987070011</v>
      </c>
      <c r="Q32" s="566">
        <f t="shared" si="1"/>
        <v>0.10216436160804485</v>
      </c>
    </row>
    <row r="33" spans="1:18">
      <c r="A33" s="560" t="s">
        <v>181</v>
      </c>
      <c r="B33" s="460">
        <v>57653.78</v>
      </c>
      <c r="C33" s="460">
        <v>143598.81</v>
      </c>
      <c r="D33" s="460">
        <v>69020.56</v>
      </c>
      <c r="E33" s="460">
        <v>91305.7</v>
      </c>
      <c r="F33" s="460">
        <v>127687.98</v>
      </c>
      <c r="G33" s="460">
        <v>82311.09</v>
      </c>
      <c r="H33" s="460">
        <v>85916.77</v>
      </c>
      <c r="I33" s="460">
        <v>172473.58</v>
      </c>
      <c r="J33" s="460">
        <v>156980.03</v>
      </c>
      <c r="K33" s="460"/>
      <c r="L33" s="460"/>
      <c r="M33" s="461"/>
      <c r="N33" s="461">
        <f t="shared" si="0"/>
        <v>986948.3</v>
      </c>
      <c r="O33" s="460">
        <f>SUM('MTRT 2016'!B33:J33)</f>
        <v>955971.14</v>
      </c>
      <c r="P33" s="655">
        <f t="shared" si="2"/>
        <v>3.2403865246392272E-2</v>
      </c>
      <c r="Q33" s="598">
        <f t="shared" si="1"/>
        <v>0.12339434866712543</v>
      </c>
    </row>
    <row r="34" spans="1:18">
      <c r="A34" s="241" t="s">
        <v>182</v>
      </c>
      <c r="B34" s="489">
        <v>8936.69</v>
      </c>
      <c r="C34" s="489">
        <v>16874.689999999999</v>
      </c>
      <c r="D34" s="489">
        <v>9140.01</v>
      </c>
      <c r="E34" s="489">
        <v>11115.92</v>
      </c>
      <c r="F34" s="489">
        <v>19400.25</v>
      </c>
      <c r="G34" s="489">
        <v>15610.39</v>
      </c>
      <c r="H34" s="489">
        <v>18513.43</v>
      </c>
      <c r="I34" s="489">
        <v>36148.07</v>
      </c>
      <c r="J34" s="489">
        <v>33688.94</v>
      </c>
      <c r="K34" s="489"/>
      <c r="L34" s="489"/>
      <c r="M34" s="659"/>
      <c r="N34" s="603">
        <f t="shared" si="0"/>
        <v>169428.39</v>
      </c>
      <c r="O34" s="657">
        <f>SUM('MTRT 2016'!B34:J34)</f>
        <v>169184.5</v>
      </c>
      <c r="P34" s="638">
        <f t="shared" si="2"/>
        <v>1.4415623180610293E-3</v>
      </c>
      <c r="Q34" s="623">
        <f t="shared" si="1"/>
        <v>2.1182979726262974E-2</v>
      </c>
    </row>
    <row r="35" spans="1:18" s="154" customFormat="1">
      <c r="A35" s="241" t="s">
        <v>183</v>
      </c>
      <c r="B35" s="489">
        <v>4463.76</v>
      </c>
      <c r="C35" s="489">
        <v>15499.48</v>
      </c>
      <c r="D35" s="489">
        <v>6850.17</v>
      </c>
      <c r="E35" s="489">
        <v>9990.94</v>
      </c>
      <c r="F35" s="489">
        <v>8817.93</v>
      </c>
      <c r="G35" s="489">
        <v>3541.03</v>
      </c>
      <c r="H35" s="489">
        <v>1457.31</v>
      </c>
      <c r="I35" s="489">
        <v>2764.3</v>
      </c>
      <c r="J35" s="489">
        <v>2360.54</v>
      </c>
      <c r="K35" s="489"/>
      <c r="L35" s="489"/>
      <c r="M35" s="659"/>
      <c r="N35" s="603">
        <f t="shared" si="0"/>
        <v>55745.46</v>
      </c>
      <c r="O35" s="657">
        <f>SUM('MTRT 2016'!B35:J35)</f>
        <v>48798.639999999992</v>
      </c>
      <c r="P35" s="638">
        <f t="shared" si="2"/>
        <v>0.14235683617412298</v>
      </c>
      <c r="Q35" s="623">
        <f t="shared" si="1"/>
        <v>6.9696403832392164E-3</v>
      </c>
    </row>
    <row r="36" spans="1:18">
      <c r="A36" s="560" t="s">
        <v>184</v>
      </c>
      <c r="B36" s="460">
        <v>2067.16</v>
      </c>
      <c r="C36" s="460">
        <v>11476.03</v>
      </c>
      <c r="D36" s="460">
        <v>1573.47</v>
      </c>
      <c r="E36" s="460">
        <v>1731.61</v>
      </c>
      <c r="F36" s="460">
        <v>12773.89</v>
      </c>
      <c r="G36" s="460">
        <v>3290.36</v>
      </c>
      <c r="H36" s="460">
        <v>4008.76</v>
      </c>
      <c r="I36" s="460">
        <v>18206.68</v>
      </c>
      <c r="J36" s="460">
        <v>8427.26</v>
      </c>
      <c r="K36" s="460"/>
      <c r="L36" s="460"/>
      <c r="M36" s="461"/>
      <c r="N36" s="461">
        <f t="shared" ref="N36:N103" si="3">SUM(B36:M36)</f>
        <v>63555.22</v>
      </c>
      <c r="O36" s="460">
        <f>SUM('MTRT 2016'!B36:J36)</f>
        <v>60055.8</v>
      </c>
      <c r="P36" s="655">
        <f t="shared" si="2"/>
        <v>5.8269476053936398E-2</v>
      </c>
      <c r="Q36" s="598">
        <f t="shared" ref="Q36:Q67" si="4">N36/$N$106</f>
        <v>7.9460646280011451E-3</v>
      </c>
    </row>
    <row r="37" spans="1:18" s="154" customFormat="1">
      <c r="A37" s="241" t="s">
        <v>185</v>
      </c>
      <c r="B37" s="489">
        <v>0</v>
      </c>
      <c r="C37" s="489">
        <v>0</v>
      </c>
      <c r="D37" s="489">
        <v>0</v>
      </c>
      <c r="E37" s="489">
        <v>0</v>
      </c>
      <c r="F37" s="489">
        <v>0</v>
      </c>
      <c r="G37" s="489">
        <v>0</v>
      </c>
      <c r="H37" s="489">
        <v>0</v>
      </c>
      <c r="I37" s="489">
        <v>0</v>
      </c>
      <c r="J37" s="489">
        <v>0</v>
      </c>
      <c r="K37" s="489"/>
      <c r="L37" s="489"/>
      <c r="M37" s="659"/>
      <c r="N37" s="603">
        <f t="shared" si="3"/>
        <v>0</v>
      </c>
      <c r="O37" s="657">
        <f>SUM('MTRT 2016'!B37:J37)</f>
        <v>0</v>
      </c>
      <c r="P37" s="638" t="e">
        <f t="shared" si="2"/>
        <v>#DIV/0!</v>
      </c>
      <c r="Q37" s="566">
        <f t="shared" si="4"/>
        <v>0</v>
      </c>
    </row>
    <row r="38" spans="1:18">
      <c r="A38" s="560" t="s">
        <v>186</v>
      </c>
      <c r="B38" s="460">
        <v>126370.81</v>
      </c>
      <c r="C38" s="460">
        <v>101596.25</v>
      </c>
      <c r="D38" s="460">
        <v>78950.5</v>
      </c>
      <c r="E38" s="460">
        <v>146230.13</v>
      </c>
      <c r="F38" s="460">
        <v>197166.19</v>
      </c>
      <c r="G38" s="460">
        <v>124631.78</v>
      </c>
      <c r="H38" s="460">
        <v>280108.46000000002</v>
      </c>
      <c r="I38" s="460">
        <v>474322.94</v>
      </c>
      <c r="J38" s="460">
        <v>206760.23</v>
      </c>
      <c r="K38" s="460"/>
      <c r="L38" s="460"/>
      <c r="M38" s="461"/>
      <c r="N38" s="461">
        <f t="shared" si="3"/>
        <v>1736137.29</v>
      </c>
      <c r="O38" s="460">
        <f>SUM('MTRT 2016'!B38:J38)</f>
        <v>1512911.48</v>
      </c>
      <c r="P38" s="655">
        <f t="shared" si="2"/>
        <v>0.14754717176182708</v>
      </c>
      <c r="Q38" s="598">
        <f t="shared" si="4"/>
        <v>0.21706256558348419</v>
      </c>
    </row>
    <row r="39" spans="1:18">
      <c r="A39" s="241" t="s">
        <v>187</v>
      </c>
      <c r="B39" s="489">
        <v>1063.82</v>
      </c>
      <c r="C39" s="489">
        <v>533.59</v>
      </c>
      <c r="D39" s="489">
        <v>222.55</v>
      </c>
      <c r="E39" s="489">
        <v>743.73</v>
      </c>
      <c r="F39" s="489">
        <v>596.9</v>
      </c>
      <c r="G39" s="489">
        <v>0</v>
      </c>
      <c r="H39" s="489">
        <v>643.33000000000004</v>
      </c>
      <c r="I39" s="489">
        <v>1221.8399999999999</v>
      </c>
      <c r="J39" s="489">
        <v>300.08</v>
      </c>
      <c r="K39" s="489"/>
      <c r="L39" s="489"/>
      <c r="M39" s="659"/>
      <c r="N39" s="603">
        <f t="shared" si="3"/>
        <v>5325.8399999999992</v>
      </c>
      <c r="O39" s="657">
        <f>SUM('MTRT 2016'!B39:J39)</f>
        <v>3173.97</v>
      </c>
      <c r="P39" s="638">
        <f t="shared" si="2"/>
        <v>0.67797427196854398</v>
      </c>
      <c r="Q39" s="623">
        <f t="shared" si="4"/>
        <v>6.6586928403982565E-4</v>
      </c>
    </row>
    <row r="40" spans="1:18" s="154" customFormat="1">
      <c r="A40" s="241" t="s">
        <v>188</v>
      </c>
      <c r="B40" s="489">
        <v>10551.55</v>
      </c>
      <c r="C40" s="489">
        <v>8669.39</v>
      </c>
      <c r="D40" s="489">
        <v>5791.24</v>
      </c>
      <c r="E40" s="489">
        <v>7045.63</v>
      </c>
      <c r="F40" s="489">
        <v>17222.7</v>
      </c>
      <c r="G40" s="489">
        <v>16907.64</v>
      </c>
      <c r="H40" s="489">
        <v>24654.77</v>
      </c>
      <c r="I40" s="489">
        <v>36303.480000000003</v>
      </c>
      <c r="J40" s="489">
        <v>25018.58</v>
      </c>
      <c r="K40" s="489"/>
      <c r="L40" s="489"/>
      <c r="M40" s="659"/>
      <c r="N40" s="603">
        <f t="shared" si="3"/>
        <v>152164.97999999998</v>
      </c>
      <c r="O40" s="657">
        <f>SUM('MTRT 2016'!B40:J40)</f>
        <v>123590.06</v>
      </c>
      <c r="P40" s="638">
        <f t="shared" si="2"/>
        <v>0.23120726699218364</v>
      </c>
      <c r="Q40" s="623">
        <f t="shared" si="4"/>
        <v>1.9024601994903041E-2</v>
      </c>
    </row>
    <row r="41" spans="1:18">
      <c r="A41" s="560" t="s">
        <v>189</v>
      </c>
      <c r="B41" s="460">
        <v>5084.62</v>
      </c>
      <c r="C41" s="460">
        <v>11317.9</v>
      </c>
      <c r="D41" s="460">
        <v>5398.14</v>
      </c>
      <c r="E41" s="460">
        <v>6665.03</v>
      </c>
      <c r="F41" s="460">
        <v>12244.73</v>
      </c>
      <c r="G41" s="460">
        <v>11534.85</v>
      </c>
      <c r="H41" s="460">
        <v>18324.13</v>
      </c>
      <c r="I41" s="460">
        <v>23962.63</v>
      </c>
      <c r="J41" s="460">
        <v>12996.7</v>
      </c>
      <c r="K41" s="460"/>
      <c r="L41" s="460"/>
      <c r="M41" s="461"/>
      <c r="N41" s="461">
        <f t="shared" si="3"/>
        <v>107528.73</v>
      </c>
      <c r="O41" s="460">
        <f>SUM('MTRT 2016'!B41:J41)</f>
        <v>115608.09000000001</v>
      </c>
      <c r="P41" s="655">
        <f t="shared" si="2"/>
        <v>-6.9885766644877667E-2</v>
      </c>
      <c r="Q41" s="598">
        <f t="shared" si="4"/>
        <v>1.3443903395297593E-2</v>
      </c>
    </row>
    <row r="42" spans="1:18">
      <c r="A42" s="241" t="s">
        <v>190</v>
      </c>
      <c r="B42" s="489">
        <v>9.8000000000000007</v>
      </c>
      <c r="C42" s="489">
        <v>1418.99</v>
      </c>
      <c r="D42" s="489">
        <v>519.75</v>
      </c>
      <c r="E42" s="489">
        <v>992.01</v>
      </c>
      <c r="F42" s="489">
        <v>1375.66</v>
      </c>
      <c r="G42" s="489">
        <v>1502.71</v>
      </c>
      <c r="H42" s="489">
        <v>1108.96</v>
      </c>
      <c r="I42" s="489">
        <v>2431.79</v>
      </c>
      <c r="J42" s="489">
        <v>1304.6300000000001</v>
      </c>
      <c r="K42" s="489"/>
      <c r="L42" s="489"/>
      <c r="M42" s="659"/>
      <c r="N42" s="603">
        <f t="shared" si="3"/>
        <v>10664.3</v>
      </c>
      <c r="O42" s="657">
        <f>SUM('MTRT 2016'!B42:J42)</f>
        <v>12633.419999999998</v>
      </c>
      <c r="P42" s="638">
        <f t="shared" si="2"/>
        <v>-0.15586594920457009</v>
      </c>
      <c r="Q42" s="623">
        <f t="shared" si="4"/>
        <v>1.3333163981242234E-3</v>
      </c>
    </row>
    <row r="43" spans="1:18" s="154" customFormat="1">
      <c r="A43" s="241" t="s">
        <v>191</v>
      </c>
      <c r="B43" s="489">
        <v>1684.61</v>
      </c>
      <c r="C43" s="489">
        <v>1922.66</v>
      </c>
      <c r="D43" s="489">
        <v>1010.65</v>
      </c>
      <c r="E43" s="489">
        <v>1229.6600000000001</v>
      </c>
      <c r="F43" s="489">
        <v>2099.2199999999998</v>
      </c>
      <c r="G43" s="489">
        <v>2099.8200000000002</v>
      </c>
      <c r="H43" s="489">
        <v>2131.38</v>
      </c>
      <c r="I43" s="489">
        <v>4248.1000000000004</v>
      </c>
      <c r="J43" s="489">
        <v>2682.3</v>
      </c>
      <c r="K43" s="489"/>
      <c r="L43" s="489"/>
      <c r="M43" s="659"/>
      <c r="N43" s="603">
        <f t="shared" si="3"/>
        <v>19108.399999999998</v>
      </c>
      <c r="O43" s="657">
        <f>SUM('MTRT 2016'!B43:J43)</f>
        <v>19997.14</v>
      </c>
      <c r="P43" s="638">
        <f t="shared" si="2"/>
        <v>-4.4443355399822249E-2</v>
      </c>
      <c r="Q43" s="623">
        <f t="shared" si="4"/>
        <v>2.3890497324641005E-3</v>
      </c>
    </row>
    <row r="44" spans="1:18" s="154" customFormat="1">
      <c r="A44" s="563" t="s">
        <v>192</v>
      </c>
      <c r="B44" s="478">
        <v>446.29</v>
      </c>
      <c r="C44" s="478">
        <v>1585.39</v>
      </c>
      <c r="D44" s="478">
        <v>852.82</v>
      </c>
      <c r="E44" s="478">
        <v>1225.3399999999999</v>
      </c>
      <c r="F44" s="478">
        <v>876.16</v>
      </c>
      <c r="G44" s="478">
        <v>325.22000000000003</v>
      </c>
      <c r="H44" s="478">
        <v>1278.4100000000001</v>
      </c>
      <c r="I44" s="478">
        <v>2477.52</v>
      </c>
      <c r="J44" s="478">
        <v>1742.34</v>
      </c>
      <c r="K44" s="478"/>
      <c r="L44" s="460"/>
      <c r="M44" s="479"/>
      <c r="N44" s="461">
        <f t="shared" si="3"/>
        <v>10809.49</v>
      </c>
      <c r="O44" s="460">
        <f>SUM('MTRT 2016'!B44:J44)</f>
        <v>4613.17</v>
      </c>
      <c r="P44" s="656">
        <f t="shared" si="2"/>
        <v>1.343180502777916</v>
      </c>
      <c r="Q44" s="599">
        <f t="shared" si="4"/>
        <v>1.35146894520595E-3</v>
      </c>
    </row>
    <row r="45" spans="1:18" s="154" customFormat="1">
      <c r="A45" s="652" t="s">
        <v>366</v>
      </c>
      <c r="B45" s="653">
        <v>56.35</v>
      </c>
      <c r="C45" s="653">
        <v>70.86</v>
      </c>
      <c r="D45" s="653">
        <v>61.81</v>
      </c>
      <c r="E45" s="653">
        <v>148.69999999999999</v>
      </c>
      <c r="F45" s="653">
        <v>19.77</v>
      </c>
      <c r="G45" s="653">
        <v>0</v>
      </c>
      <c r="H45" s="653">
        <v>9.8699999999999992</v>
      </c>
      <c r="I45" s="653">
        <v>6.99</v>
      </c>
      <c r="J45" s="653">
        <v>6.99</v>
      </c>
      <c r="K45" s="653"/>
      <c r="L45" s="658"/>
      <c r="M45" s="660"/>
      <c r="N45" s="663">
        <f t="shared" si="3"/>
        <v>381.34000000000003</v>
      </c>
      <c r="O45" s="657" t="s">
        <v>365</v>
      </c>
      <c r="P45" s="674" t="s">
        <v>365</v>
      </c>
      <c r="Q45" s="662">
        <f t="shared" si="4"/>
        <v>4.7677472995010588E-5</v>
      </c>
      <c r="R45" s="673"/>
    </row>
    <row r="46" spans="1:18" s="154" customFormat="1">
      <c r="A46" s="560" t="s">
        <v>193</v>
      </c>
      <c r="B46" s="460">
        <v>591.71</v>
      </c>
      <c r="C46" s="460">
        <v>1841.44</v>
      </c>
      <c r="D46" s="460">
        <v>109.94</v>
      </c>
      <c r="E46" s="460">
        <v>669.92</v>
      </c>
      <c r="F46" s="460">
        <v>793.07</v>
      </c>
      <c r="G46" s="460">
        <v>196.18</v>
      </c>
      <c r="H46" s="460">
        <v>1905.26</v>
      </c>
      <c r="I46" s="460">
        <v>6511.38</v>
      </c>
      <c r="J46" s="460">
        <v>543.13</v>
      </c>
      <c r="K46" s="460"/>
      <c r="L46" s="460"/>
      <c r="M46" s="461"/>
      <c r="N46" s="461">
        <f t="shared" si="3"/>
        <v>13162.03</v>
      </c>
      <c r="O46" s="460">
        <f>SUM('MTRT 2016'!B45:J45)</f>
        <v>10910.91</v>
      </c>
      <c r="P46" s="655">
        <f>N46/O46-1</f>
        <v>0.20631826309629542</v>
      </c>
      <c r="Q46" s="598">
        <f t="shared" si="4"/>
        <v>1.6455979700123753E-3</v>
      </c>
    </row>
    <row r="47" spans="1:18" s="154" customFormat="1">
      <c r="A47" s="560" t="s">
        <v>194</v>
      </c>
      <c r="B47" s="460">
        <v>0</v>
      </c>
      <c r="C47" s="460">
        <v>10823.52</v>
      </c>
      <c r="D47" s="460">
        <v>4455.7299999999996</v>
      </c>
      <c r="E47" s="460">
        <v>6409.78</v>
      </c>
      <c r="F47" s="460">
        <v>10196.299999999999</v>
      </c>
      <c r="G47" s="460">
        <v>1747.47</v>
      </c>
      <c r="H47" s="460">
        <v>10794.34</v>
      </c>
      <c r="I47" s="460">
        <v>62308.43</v>
      </c>
      <c r="J47" s="460">
        <v>43362.93</v>
      </c>
      <c r="K47" s="460"/>
      <c r="L47" s="460"/>
      <c r="M47" s="461"/>
      <c r="N47" s="461">
        <f t="shared" si="3"/>
        <v>150098.5</v>
      </c>
      <c r="O47" s="458">
        <f>SUM('MTRT 2016'!B46:J46)</f>
        <v>148533.6</v>
      </c>
      <c r="P47" s="655">
        <f t="shared" ref="P47:P105" si="5">N47/O47-1</f>
        <v>1.0535663311196819E-2</v>
      </c>
      <c r="Q47" s="598">
        <f t="shared" si="4"/>
        <v>1.876623795128126E-2</v>
      </c>
    </row>
    <row r="48" spans="1:18">
      <c r="A48" s="560" t="s">
        <v>195</v>
      </c>
      <c r="B48" s="460">
        <v>1111242.1499999999</v>
      </c>
      <c r="C48" s="460">
        <v>1314473.2</v>
      </c>
      <c r="D48" s="460">
        <v>1565718.51</v>
      </c>
      <c r="E48" s="460">
        <v>1804344.02</v>
      </c>
      <c r="F48" s="460">
        <v>2099598.75</v>
      </c>
      <c r="G48" s="460">
        <v>1244325.76</v>
      </c>
      <c r="H48" s="460">
        <v>1330662.1599999999</v>
      </c>
      <c r="I48" s="460">
        <v>2037788.32</v>
      </c>
      <c r="J48" s="460">
        <v>1847388.95</v>
      </c>
      <c r="K48" s="460"/>
      <c r="L48" s="460"/>
      <c r="M48" s="461"/>
      <c r="N48" s="461">
        <f t="shared" si="3"/>
        <v>14355541.819999998</v>
      </c>
      <c r="O48" s="458">
        <f>SUM('MTRT 2016'!B47:J47)</f>
        <v>12303675.789999999</v>
      </c>
      <c r="P48" s="655">
        <f t="shared" si="5"/>
        <v>0.16676853852632267</v>
      </c>
      <c r="Q48" s="598">
        <f t="shared" si="4"/>
        <v>1.794818160832315</v>
      </c>
    </row>
    <row r="49" spans="1:17">
      <c r="A49" s="241" t="s">
        <v>196</v>
      </c>
      <c r="B49" s="489">
        <v>2411.44</v>
      </c>
      <c r="C49" s="489">
        <v>6553.64</v>
      </c>
      <c r="D49" s="489">
        <v>3213.42</v>
      </c>
      <c r="E49" s="489">
        <v>4353.45</v>
      </c>
      <c r="F49" s="489">
        <v>5677.32</v>
      </c>
      <c r="G49" s="489">
        <v>2070.52</v>
      </c>
      <c r="H49" s="489">
        <v>2061.0300000000002</v>
      </c>
      <c r="I49" s="489">
        <v>3440.48</v>
      </c>
      <c r="J49" s="489">
        <v>1021.81</v>
      </c>
      <c r="K49" s="489"/>
      <c r="L49" s="489"/>
      <c r="M49" s="659"/>
      <c r="N49" s="603">
        <f t="shared" si="3"/>
        <v>30803.11</v>
      </c>
      <c r="O49" s="657">
        <f>SUM('MTRT 2016'!B48:J48)</f>
        <v>26993.96</v>
      </c>
      <c r="P49" s="678">
        <f t="shared" si="5"/>
        <v>0.14111119672697159</v>
      </c>
      <c r="Q49" s="623">
        <f t="shared" si="4"/>
        <v>3.8511943283876344E-3</v>
      </c>
    </row>
    <row r="50" spans="1:17">
      <c r="A50" s="241" t="s">
        <v>198</v>
      </c>
      <c r="B50" s="489">
        <v>5386.33</v>
      </c>
      <c r="C50" s="489">
        <v>7827.52</v>
      </c>
      <c r="D50" s="489">
        <v>6179.03</v>
      </c>
      <c r="E50" s="489">
        <v>7107.63</v>
      </c>
      <c r="F50" s="489">
        <v>10593.92</v>
      </c>
      <c r="G50" s="489">
        <v>6517.03</v>
      </c>
      <c r="H50" s="489">
        <v>6780.53</v>
      </c>
      <c r="I50" s="489">
        <v>17338.13</v>
      </c>
      <c r="J50" s="489">
        <v>9591.42</v>
      </c>
      <c r="K50" s="489"/>
      <c r="L50" s="489"/>
      <c r="M50" s="659"/>
      <c r="N50" s="603">
        <f t="shared" si="3"/>
        <v>77321.539999999994</v>
      </c>
      <c r="O50" s="657">
        <f>SUM('MTRT 2016'!B49:J49)</f>
        <v>59032.29</v>
      </c>
      <c r="P50" s="676">
        <f t="shared" si="5"/>
        <v>0.30981772856855105</v>
      </c>
      <c r="Q50" s="623">
        <f t="shared" si="4"/>
        <v>9.6672146517087915E-3</v>
      </c>
    </row>
    <row r="51" spans="1:17">
      <c r="A51" s="241" t="s">
        <v>199</v>
      </c>
      <c r="B51" s="489">
        <v>2848.02</v>
      </c>
      <c r="C51" s="489">
        <v>11674.25</v>
      </c>
      <c r="D51" s="489">
        <v>9591.0499999999993</v>
      </c>
      <c r="E51" s="489">
        <v>10711.65</v>
      </c>
      <c r="F51" s="489">
        <v>9186.44</v>
      </c>
      <c r="G51" s="489">
        <v>6493.89</v>
      </c>
      <c r="H51" s="489">
        <v>3097.48</v>
      </c>
      <c r="I51" s="489">
        <v>12153.04</v>
      </c>
      <c r="J51" s="489">
        <v>7589.28</v>
      </c>
      <c r="K51" s="489"/>
      <c r="L51" s="489"/>
      <c r="M51" s="659"/>
      <c r="N51" s="603">
        <f t="shared" si="3"/>
        <v>73345.100000000006</v>
      </c>
      <c r="O51" s="657">
        <f>SUM('MTRT 2016'!B50:J50)</f>
        <v>65731.03</v>
      </c>
      <c r="P51" s="676">
        <f t="shared" si="5"/>
        <v>0.11583676689685229</v>
      </c>
      <c r="Q51" s="623">
        <f t="shared" si="4"/>
        <v>9.1700556578548052E-3</v>
      </c>
    </row>
    <row r="52" spans="1:17">
      <c r="A52" s="241" t="s">
        <v>200</v>
      </c>
      <c r="B52" s="489">
        <v>8713.2199999999993</v>
      </c>
      <c r="C52" s="489">
        <v>14900.37</v>
      </c>
      <c r="D52" s="489">
        <v>9372.7900000000009</v>
      </c>
      <c r="E52" s="489">
        <v>19207.82</v>
      </c>
      <c r="F52" s="489">
        <v>12110.09</v>
      </c>
      <c r="G52" s="489">
        <v>11922.32</v>
      </c>
      <c r="H52" s="489">
        <v>15057.95</v>
      </c>
      <c r="I52" s="489">
        <v>13418.7</v>
      </c>
      <c r="J52" s="489">
        <v>24280.93</v>
      </c>
      <c r="K52" s="489"/>
      <c r="L52" s="489"/>
      <c r="M52" s="659"/>
      <c r="N52" s="603">
        <f t="shared" si="3"/>
        <v>128984.19</v>
      </c>
      <c r="O52" s="657">
        <f>SUM('MTRT 2016'!B51:J51)</f>
        <v>102801.58</v>
      </c>
      <c r="P52" s="676">
        <f t="shared" si="5"/>
        <v>0.25469073529803721</v>
      </c>
      <c r="Q52" s="623">
        <f t="shared" si="4"/>
        <v>1.6126397009252412E-2</v>
      </c>
    </row>
    <row r="53" spans="1:17">
      <c r="A53" s="241" t="s">
        <v>414</v>
      </c>
      <c r="B53" s="39" t="s">
        <v>365</v>
      </c>
      <c r="C53" s="39" t="s">
        <v>365</v>
      </c>
      <c r="D53" s="39" t="s">
        <v>365</v>
      </c>
      <c r="E53" s="39" t="s">
        <v>365</v>
      </c>
      <c r="F53" s="39" t="s">
        <v>365</v>
      </c>
      <c r="G53" s="489">
        <v>83.51</v>
      </c>
      <c r="H53" s="489">
        <v>4.0599999999999996</v>
      </c>
      <c r="I53" s="489">
        <v>165.04</v>
      </c>
      <c r="J53" s="489">
        <v>115.4</v>
      </c>
      <c r="K53" s="489"/>
      <c r="L53" s="489"/>
      <c r="M53" s="659"/>
      <c r="N53" s="603">
        <f>SUM(B53:M53)</f>
        <v>368.01</v>
      </c>
      <c r="O53" s="657" t="s">
        <v>365</v>
      </c>
      <c r="P53" s="676" t="s">
        <v>365</v>
      </c>
      <c r="Q53" s="623">
        <f t="shared" si="4"/>
        <v>4.6010874382162495E-5</v>
      </c>
    </row>
    <row r="54" spans="1:17">
      <c r="A54" s="241" t="s">
        <v>201</v>
      </c>
      <c r="B54" s="489">
        <v>13633.73</v>
      </c>
      <c r="C54" s="489">
        <v>11383.46</v>
      </c>
      <c r="D54" s="489">
        <v>16176.39</v>
      </c>
      <c r="E54" s="489">
        <v>18106.93</v>
      </c>
      <c r="F54" s="489">
        <v>19016.560000000001</v>
      </c>
      <c r="G54" s="489">
        <v>13715.63</v>
      </c>
      <c r="H54" s="489">
        <v>17834.47</v>
      </c>
      <c r="I54" s="489">
        <v>22246.89</v>
      </c>
      <c r="J54" s="489">
        <v>20729.02</v>
      </c>
      <c r="K54" s="489"/>
      <c r="L54" s="489"/>
      <c r="M54" s="659"/>
      <c r="N54" s="603">
        <f t="shared" si="3"/>
        <v>152843.07999999999</v>
      </c>
      <c r="O54" s="657">
        <f>SUM('MTRT 2016'!B52:J52)</f>
        <v>139921.53</v>
      </c>
      <c r="P54" s="676">
        <f t="shared" si="5"/>
        <v>9.2348547074921017E-2</v>
      </c>
      <c r="Q54" s="623">
        <f t="shared" si="4"/>
        <v>1.9109382228914465E-2</v>
      </c>
    </row>
    <row r="55" spans="1:17">
      <c r="A55" s="241" t="s">
        <v>202</v>
      </c>
      <c r="B55" s="489">
        <v>224598.88</v>
      </c>
      <c r="C55" s="489">
        <v>209889.72</v>
      </c>
      <c r="D55" s="489">
        <v>261776.66</v>
      </c>
      <c r="E55" s="489">
        <v>277565.21999999997</v>
      </c>
      <c r="F55" s="489">
        <v>346047.21</v>
      </c>
      <c r="G55" s="489">
        <v>243849.89</v>
      </c>
      <c r="H55" s="489">
        <v>259762.17</v>
      </c>
      <c r="I55" s="489">
        <v>391510.46</v>
      </c>
      <c r="J55" s="489">
        <v>332459.5</v>
      </c>
      <c r="K55" s="489"/>
      <c r="L55" s="489"/>
      <c r="M55" s="659"/>
      <c r="N55" s="603">
        <f t="shared" si="3"/>
        <v>2547459.71</v>
      </c>
      <c r="O55" s="657">
        <f>SUM('MTRT 2016'!B53:J53)</f>
        <v>2203766.1</v>
      </c>
      <c r="P55" s="676">
        <f t="shared" si="5"/>
        <v>0.15595739039637646</v>
      </c>
      <c r="Q55" s="623">
        <f t="shared" si="4"/>
        <v>0.31849908619447864</v>
      </c>
    </row>
    <row r="56" spans="1:17">
      <c r="A56" s="241" t="s">
        <v>203</v>
      </c>
      <c r="B56" s="489">
        <v>27489.46</v>
      </c>
      <c r="C56" s="489">
        <v>28914.05</v>
      </c>
      <c r="D56" s="489">
        <v>46769.05</v>
      </c>
      <c r="E56" s="489">
        <v>46752.04</v>
      </c>
      <c r="F56" s="489">
        <v>38316.269999999997</v>
      </c>
      <c r="G56" s="489">
        <v>34506.089999999997</v>
      </c>
      <c r="H56" s="489">
        <v>26796.1</v>
      </c>
      <c r="I56" s="489">
        <v>47562.13</v>
      </c>
      <c r="J56" s="489">
        <v>53503.95</v>
      </c>
      <c r="K56" s="489"/>
      <c r="L56" s="489"/>
      <c r="M56" s="659"/>
      <c r="N56" s="603">
        <f t="shared" si="3"/>
        <v>350609.14</v>
      </c>
      <c r="O56" s="657">
        <f>SUM('MTRT 2016'!B54:J54)</f>
        <v>313128.46999999997</v>
      </c>
      <c r="P56" s="676">
        <f t="shared" si="5"/>
        <v>0.11969742003976847</v>
      </c>
      <c r="Q56" s="623">
        <f t="shared" si="4"/>
        <v>4.3835311806141204E-2</v>
      </c>
    </row>
    <row r="57" spans="1:17">
      <c r="A57" s="241" t="s">
        <v>330</v>
      </c>
      <c r="B57" s="489">
        <v>2296.41</v>
      </c>
      <c r="C57" s="489">
        <v>9821.85</v>
      </c>
      <c r="D57" s="489">
        <v>2477.0300000000002</v>
      </c>
      <c r="E57" s="489">
        <v>2947.96</v>
      </c>
      <c r="F57" s="489">
        <v>11667.79</v>
      </c>
      <c r="G57" s="489">
        <v>2440.4699999999998</v>
      </c>
      <c r="H57" s="489">
        <v>3535.15</v>
      </c>
      <c r="I57" s="489">
        <v>16277.44</v>
      </c>
      <c r="J57" s="489">
        <v>11791.79</v>
      </c>
      <c r="K57" s="489"/>
      <c r="L57" s="485"/>
      <c r="M57" s="659"/>
      <c r="N57" s="603">
        <f t="shared" si="3"/>
        <v>63255.890000000007</v>
      </c>
      <c r="O57" s="657">
        <f>SUM('MTRT 2016'!B55:J55)</f>
        <v>48646.28</v>
      </c>
      <c r="P57" s="676">
        <f t="shared" si="5"/>
        <v>0.30032327240644108</v>
      </c>
      <c r="Q57" s="623">
        <f t="shared" si="4"/>
        <v>7.9086405497728017E-3</v>
      </c>
    </row>
    <row r="58" spans="1:17" s="154" customFormat="1">
      <c r="A58" s="241" t="s">
        <v>204</v>
      </c>
      <c r="B58" s="489">
        <v>2316.12</v>
      </c>
      <c r="C58" s="489">
        <v>3637.21</v>
      </c>
      <c r="D58" s="489">
        <v>2678.31</v>
      </c>
      <c r="E58" s="489">
        <v>3930.15</v>
      </c>
      <c r="F58" s="489">
        <v>3506.2</v>
      </c>
      <c r="G58" s="489">
        <v>1375.32</v>
      </c>
      <c r="H58" s="489">
        <v>4736.0600000000004</v>
      </c>
      <c r="I58" s="489">
        <v>4454.08</v>
      </c>
      <c r="J58" s="489">
        <v>3249.65</v>
      </c>
      <c r="K58" s="489"/>
      <c r="L58" s="485"/>
      <c r="M58" s="659"/>
      <c r="N58" s="603">
        <f t="shared" si="3"/>
        <v>29883.1</v>
      </c>
      <c r="O58" s="657">
        <f>SUM('MTRT 2016'!B56:J56)</f>
        <v>28467.770000000004</v>
      </c>
      <c r="P58" s="676">
        <f t="shared" si="5"/>
        <v>4.9716925491529285E-2</v>
      </c>
      <c r="Q58" s="623">
        <f t="shared" si="4"/>
        <v>3.7361690178245154E-3</v>
      </c>
    </row>
    <row r="59" spans="1:17" s="154" customFormat="1">
      <c r="A59" s="241" t="s">
        <v>205</v>
      </c>
      <c r="B59" s="485">
        <v>2315.17</v>
      </c>
      <c r="C59" s="485">
        <v>2063.42</v>
      </c>
      <c r="D59" s="485">
        <v>2149.19</v>
      </c>
      <c r="E59" s="485">
        <v>2597.2399999999998</v>
      </c>
      <c r="F59" s="485">
        <v>3010.68</v>
      </c>
      <c r="G59" s="485">
        <v>2223.59</v>
      </c>
      <c r="H59" s="485">
        <v>2595.71</v>
      </c>
      <c r="I59" s="485">
        <v>3224.58</v>
      </c>
      <c r="J59" s="485">
        <v>3229.8</v>
      </c>
      <c r="K59" s="485"/>
      <c r="L59" s="485"/>
      <c r="M59" s="486"/>
      <c r="N59" s="603">
        <f t="shared" si="3"/>
        <v>23409.38</v>
      </c>
      <c r="O59" s="657">
        <f>SUM('MTRT 2016'!B57:J57)</f>
        <v>21801.05</v>
      </c>
      <c r="P59" s="676">
        <f t="shared" si="5"/>
        <v>7.3773052215375001E-2</v>
      </c>
      <c r="Q59" s="623">
        <f t="shared" si="4"/>
        <v>2.9267847138510017E-3</v>
      </c>
    </row>
    <row r="60" spans="1:17" s="154" customFormat="1">
      <c r="A60" s="241" t="s">
        <v>357</v>
      </c>
      <c r="B60" s="485">
        <v>27543.239999999998</v>
      </c>
      <c r="C60" s="485">
        <v>24440.48</v>
      </c>
      <c r="D60" s="485">
        <v>28763.19</v>
      </c>
      <c r="E60" s="485">
        <v>36471.230000000003</v>
      </c>
      <c r="F60" s="485">
        <v>45240.21</v>
      </c>
      <c r="G60" s="485">
        <v>32171.32</v>
      </c>
      <c r="H60" s="485">
        <v>31191.82</v>
      </c>
      <c r="I60" s="485">
        <v>42778.369999999901</v>
      </c>
      <c r="J60" s="485">
        <v>58443.73</v>
      </c>
      <c r="K60" s="485"/>
      <c r="L60" s="485"/>
      <c r="M60" s="486"/>
      <c r="N60" s="603">
        <f t="shared" si="3"/>
        <v>327043.58999999991</v>
      </c>
      <c r="O60" s="657">
        <f>SUM('MTRT 2016'!B58:J58)</f>
        <v>267022.36</v>
      </c>
      <c r="P60" s="676">
        <f t="shared" si="5"/>
        <v>0.22477978997713866</v>
      </c>
      <c r="Q60" s="623">
        <f t="shared" si="4"/>
        <v>4.0889001758053989E-2</v>
      </c>
    </row>
    <row r="61" spans="1:17">
      <c r="A61" s="560" t="s">
        <v>207</v>
      </c>
      <c r="B61" s="460">
        <v>28880.98</v>
      </c>
      <c r="C61" s="460">
        <v>46004.52</v>
      </c>
      <c r="D61" s="460">
        <v>10781.31</v>
      </c>
      <c r="E61" s="460">
        <v>30824.47</v>
      </c>
      <c r="F61" s="460">
        <v>56259.61</v>
      </c>
      <c r="G61" s="460">
        <v>78310.070000000007</v>
      </c>
      <c r="H61" s="460">
        <v>99163.97</v>
      </c>
      <c r="I61" s="460">
        <v>140457.07</v>
      </c>
      <c r="J61" s="460">
        <v>101325.07</v>
      </c>
      <c r="K61" s="460"/>
      <c r="L61" s="460"/>
      <c r="M61" s="461"/>
      <c r="N61" s="461">
        <f t="shared" si="3"/>
        <v>592007.07000000007</v>
      </c>
      <c r="O61" s="460">
        <f>SUM('MTRT 2016'!B59:J59)</f>
        <v>536627.12</v>
      </c>
      <c r="P61" s="655">
        <f t="shared" si="5"/>
        <v>0.1032000581707464</v>
      </c>
      <c r="Q61" s="598">
        <f t="shared" si="4"/>
        <v>7.4016366215923696E-2</v>
      </c>
    </row>
    <row r="62" spans="1:17">
      <c r="A62" s="241" t="s">
        <v>208</v>
      </c>
      <c r="B62" s="489">
        <v>1810.29</v>
      </c>
      <c r="C62" s="489">
        <v>1738.63</v>
      </c>
      <c r="D62" s="489">
        <v>268.57</v>
      </c>
      <c r="E62" s="489">
        <v>688.1</v>
      </c>
      <c r="F62" s="489">
        <v>2930.17</v>
      </c>
      <c r="G62" s="489">
        <v>2137.0700000000002</v>
      </c>
      <c r="H62" s="489">
        <v>2966.78</v>
      </c>
      <c r="I62" s="489">
        <v>6753.86</v>
      </c>
      <c r="J62" s="489">
        <v>3256.31</v>
      </c>
      <c r="K62" s="489"/>
      <c r="L62" s="489"/>
      <c r="M62" s="659"/>
      <c r="N62" s="603">
        <f t="shared" si="3"/>
        <v>22549.780000000002</v>
      </c>
      <c r="O62" s="657">
        <f>SUM('MTRT 2016'!B60:J60)</f>
        <v>19919.72</v>
      </c>
      <c r="P62" s="676">
        <f t="shared" si="5"/>
        <v>0.1320329803832585</v>
      </c>
      <c r="Q62" s="623">
        <f t="shared" si="4"/>
        <v>2.8193122331605126E-3</v>
      </c>
    </row>
    <row r="63" spans="1:17" s="154" customFormat="1">
      <c r="A63" s="241" t="s">
        <v>209</v>
      </c>
      <c r="B63" s="489">
        <v>1175.72</v>
      </c>
      <c r="C63" s="489">
        <v>1598.28</v>
      </c>
      <c r="D63" s="489">
        <v>186.41</v>
      </c>
      <c r="E63" s="489">
        <v>1913.6</v>
      </c>
      <c r="F63" s="489">
        <v>1174.94</v>
      </c>
      <c r="G63" s="489">
        <v>3675.24</v>
      </c>
      <c r="H63" s="489">
        <v>2952.95</v>
      </c>
      <c r="I63" s="489">
        <v>7066.79</v>
      </c>
      <c r="J63" s="489">
        <v>2441.62</v>
      </c>
      <c r="K63" s="489"/>
      <c r="L63" s="489"/>
      <c r="M63" s="659"/>
      <c r="N63" s="603">
        <f t="shared" si="3"/>
        <v>22185.55</v>
      </c>
      <c r="O63" s="657">
        <f>SUM('MTRT 2016'!B61:J61)</f>
        <v>23376.79</v>
      </c>
      <c r="P63" s="676">
        <f t="shared" si="5"/>
        <v>-5.09582367810123E-2</v>
      </c>
      <c r="Q63" s="623">
        <f t="shared" si="4"/>
        <v>2.7737739576348063E-3</v>
      </c>
    </row>
    <row r="64" spans="1:17" s="154" customFormat="1">
      <c r="A64" s="560" t="s">
        <v>210</v>
      </c>
      <c r="B64" s="460">
        <v>4128.75</v>
      </c>
      <c r="C64" s="460">
        <v>12103.26</v>
      </c>
      <c r="D64" s="460">
        <v>1133.98</v>
      </c>
      <c r="E64" s="460">
        <v>5212.8599999999997</v>
      </c>
      <c r="F64" s="460">
        <v>15150.64</v>
      </c>
      <c r="G64" s="460">
        <v>1504.34</v>
      </c>
      <c r="H64" s="460">
        <v>5305.07</v>
      </c>
      <c r="I64" s="460">
        <v>34673.54</v>
      </c>
      <c r="J64" s="460">
        <v>6004.17</v>
      </c>
      <c r="K64" s="460"/>
      <c r="L64" s="460"/>
      <c r="M64" s="461"/>
      <c r="N64" s="461">
        <f t="shared" si="3"/>
        <v>85216.61</v>
      </c>
      <c r="O64" s="460">
        <f>SUM('MTRT 2016'!B62:J62)</f>
        <v>76454.910000000018</v>
      </c>
      <c r="P64" s="655">
        <f t="shared" si="5"/>
        <v>0.1145995724800406</v>
      </c>
      <c r="Q64" s="598">
        <f t="shared" si="4"/>
        <v>1.0654304877540644E-2</v>
      </c>
    </row>
    <row r="65" spans="1:17">
      <c r="A65" s="560" t="s">
        <v>211</v>
      </c>
      <c r="B65" s="460">
        <v>24817.78</v>
      </c>
      <c r="C65" s="460">
        <v>29026.78</v>
      </c>
      <c r="D65" s="460">
        <v>25541.3</v>
      </c>
      <c r="E65" s="460">
        <v>27802.68</v>
      </c>
      <c r="F65" s="460">
        <v>38029.03</v>
      </c>
      <c r="G65" s="460">
        <v>34332.400000000001</v>
      </c>
      <c r="H65" s="460">
        <v>108346.97</v>
      </c>
      <c r="I65" s="460">
        <v>85715.59</v>
      </c>
      <c r="J65" s="460">
        <v>64944.51</v>
      </c>
      <c r="K65" s="460"/>
      <c r="L65" s="460"/>
      <c r="M65" s="461"/>
      <c r="N65" s="461">
        <f t="shared" si="3"/>
        <v>438557.04000000004</v>
      </c>
      <c r="O65" s="460">
        <f>SUM('MTRT 2016'!B63:J63)</f>
        <v>374946.88999999996</v>
      </c>
      <c r="P65" s="655">
        <f t="shared" si="5"/>
        <v>0.16965109378557619</v>
      </c>
      <c r="Q65" s="598">
        <f t="shared" si="4"/>
        <v>5.4831099363748304E-2</v>
      </c>
    </row>
    <row r="66" spans="1:17">
      <c r="A66" s="241" t="s">
        <v>415</v>
      </c>
      <c r="B66" s="485" t="s">
        <v>365</v>
      </c>
      <c r="C66" s="485" t="s">
        <v>365</v>
      </c>
      <c r="D66" s="485" t="s">
        <v>365</v>
      </c>
      <c r="E66" s="485" t="s">
        <v>365</v>
      </c>
      <c r="F66" s="485" t="s">
        <v>365</v>
      </c>
      <c r="G66" s="485" t="s">
        <v>365</v>
      </c>
      <c r="H66" s="485" t="s">
        <v>365</v>
      </c>
      <c r="I66" s="485">
        <v>163.76</v>
      </c>
      <c r="J66" s="485">
        <v>0</v>
      </c>
      <c r="K66" s="485"/>
      <c r="L66" s="485"/>
      <c r="M66" s="486"/>
      <c r="N66" s="682">
        <f>SUM(B66:M66)</f>
        <v>163.76</v>
      </c>
      <c r="O66" s="657" t="s">
        <v>365</v>
      </c>
      <c r="P66" s="676" t="s">
        <v>365</v>
      </c>
      <c r="Q66" s="684">
        <f t="shared" si="4"/>
        <v>2.0474282733683675E-5</v>
      </c>
    </row>
    <row r="67" spans="1:17">
      <c r="A67" s="241" t="s">
        <v>212</v>
      </c>
      <c r="B67" s="489">
        <v>4715.3100000000004</v>
      </c>
      <c r="C67" s="489">
        <v>4335.97</v>
      </c>
      <c r="D67" s="489">
        <v>5390.45</v>
      </c>
      <c r="E67" s="489">
        <v>4746.46</v>
      </c>
      <c r="F67" s="489">
        <v>6670.14</v>
      </c>
      <c r="G67" s="489">
        <v>5775.2</v>
      </c>
      <c r="H67" s="489">
        <v>20748.91</v>
      </c>
      <c r="I67" s="489">
        <v>11148.26</v>
      </c>
      <c r="J67" s="489">
        <v>12786.65</v>
      </c>
      <c r="K67" s="489"/>
      <c r="L67" s="489"/>
      <c r="M67" s="659"/>
      <c r="N67" s="603">
        <f t="shared" si="3"/>
        <v>76317.350000000006</v>
      </c>
      <c r="O67" s="657">
        <f>SUM('MTRT 2016'!B64:J64)</f>
        <v>62987.92</v>
      </c>
      <c r="P67" s="676">
        <f t="shared" si="5"/>
        <v>0.21161883103934853</v>
      </c>
      <c r="Q67" s="623">
        <f t="shared" si="4"/>
        <v>9.541664639628078E-3</v>
      </c>
    </row>
    <row r="68" spans="1:17" s="154" customFormat="1">
      <c r="A68" s="241" t="s">
        <v>213</v>
      </c>
      <c r="B68" s="489">
        <v>693.18</v>
      </c>
      <c r="C68" s="489">
        <v>1808.15</v>
      </c>
      <c r="D68" s="489">
        <v>221.41</v>
      </c>
      <c r="E68" s="489">
        <v>1354.68</v>
      </c>
      <c r="F68" s="489">
        <v>1419.07</v>
      </c>
      <c r="G68" s="489">
        <v>2185.12</v>
      </c>
      <c r="H68" s="489">
        <v>1815.14</v>
      </c>
      <c r="I68" s="489">
        <v>3917.8</v>
      </c>
      <c r="J68" s="489">
        <v>1925.29</v>
      </c>
      <c r="K68" s="489"/>
      <c r="L68" s="489"/>
      <c r="M68" s="659"/>
      <c r="N68" s="603">
        <f t="shared" si="3"/>
        <v>15339.84</v>
      </c>
      <c r="O68" s="657">
        <f>SUM('MTRT 2016'!B65:J65)</f>
        <v>14720.08</v>
      </c>
      <c r="P68" s="676">
        <f t="shared" si="5"/>
        <v>4.2103032048738775E-2</v>
      </c>
      <c r="Q68" s="623">
        <f t="shared" ref="Q68:Q99" si="6">N68/$N$106</f>
        <v>1.9178811751921728E-3</v>
      </c>
    </row>
    <row r="69" spans="1:17" s="154" customFormat="1">
      <c r="A69" s="560" t="s">
        <v>214</v>
      </c>
      <c r="B69" s="460">
        <v>519167.58</v>
      </c>
      <c r="C69" s="460">
        <v>1462270.17</v>
      </c>
      <c r="D69" s="460">
        <v>1739312.81</v>
      </c>
      <c r="E69" s="460">
        <v>1690532.26</v>
      </c>
      <c r="F69" s="460">
        <v>1614707.12</v>
      </c>
      <c r="G69" s="460">
        <v>216725.72</v>
      </c>
      <c r="H69" s="460">
        <v>208290.62</v>
      </c>
      <c r="I69" s="460">
        <v>422240.86</v>
      </c>
      <c r="J69" s="460">
        <v>535443.31999999995</v>
      </c>
      <c r="K69" s="460"/>
      <c r="L69" s="460"/>
      <c r="M69" s="461"/>
      <c r="N69" s="461">
        <f t="shared" si="3"/>
        <v>8408690.4600000009</v>
      </c>
      <c r="O69" s="460">
        <f>SUM('MTRT 2016'!B66:J66)</f>
        <v>7517468.1700000009</v>
      </c>
      <c r="P69" s="655">
        <f t="shared" si="5"/>
        <v>0.11855351693494431</v>
      </c>
      <c r="Q69" s="598">
        <f t="shared" si="6"/>
        <v>1.0513062157918214</v>
      </c>
    </row>
    <row r="70" spans="1:17">
      <c r="A70" s="560" t="s">
        <v>215</v>
      </c>
      <c r="B70" s="460">
        <v>22164.67</v>
      </c>
      <c r="C70" s="460">
        <v>25672.78</v>
      </c>
      <c r="D70" s="460">
        <v>19341.09</v>
      </c>
      <c r="E70" s="460">
        <v>24677.07</v>
      </c>
      <c r="F70" s="460">
        <v>38476.65</v>
      </c>
      <c r="G70" s="460">
        <v>27076.59</v>
      </c>
      <c r="H70" s="460">
        <v>47701.75</v>
      </c>
      <c r="I70" s="460">
        <v>43131.01</v>
      </c>
      <c r="J70" s="460">
        <v>52996.79</v>
      </c>
      <c r="K70" s="460"/>
      <c r="L70" s="460"/>
      <c r="M70" s="461"/>
      <c r="N70" s="461">
        <f t="shared" si="3"/>
        <v>301238.39999999997</v>
      </c>
      <c r="O70" s="460">
        <f>SUM('MTRT 2016'!B67:J67)</f>
        <v>259075.13</v>
      </c>
      <c r="P70" s="655">
        <f t="shared" si="5"/>
        <v>0.16274533954687187</v>
      </c>
      <c r="Q70" s="598">
        <f t="shared" si="6"/>
        <v>3.7662678137777822E-2</v>
      </c>
    </row>
    <row r="71" spans="1:17" s="154" customFormat="1">
      <c r="A71" s="241" t="s">
        <v>216</v>
      </c>
      <c r="B71" s="489">
        <v>2682.4</v>
      </c>
      <c r="C71" s="489">
        <v>1925.86</v>
      </c>
      <c r="D71" s="489">
        <v>2325.59</v>
      </c>
      <c r="E71" s="489">
        <v>2088.17</v>
      </c>
      <c r="F71" s="489">
        <v>3359.54</v>
      </c>
      <c r="G71" s="489">
        <v>2296.77</v>
      </c>
      <c r="H71" s="489">
        <v>7248.19</v>
      </c>
      <c r="I71" s="489">
        <v>4833.13</v>
      </c>
      <c r="J71" s="489">
        <v>6416.48</v>
      </c>
      <c r="K71" s="489"/>
      <c r="L71" s="489"/>
      <c r="M71" s="659"/>
      <c r="N71" s="603">
        <f t="shared" si="3"/>
        <v>33176.130000000005</v>
      </c>
      <c r="O71" s="657">
        <f>SUM('MTRT 2016'!B68:J68)</f>
        <v>25421.149999999998</v>
      </c>
      <c r="P71" s="676">
        <f t="shared" si="5"/>
        <v>0.3050601566018849</v>
      </c>
      <c r="Q71" s="566">
        <f t="shared" si="6"/>
        <v>4.147883888797296E-3</v>
      </c>
    </row>
    <row r="72" spans="1:17">
      <c r="A72" s="560" t="s">
        <v>217</v>
      </c>
      <c r="B72" s="460">
        <v>33289.72</v>
      </c>
      <c r="C72" s="460">
        <v>18270.03</v>
      </c>
      <c r="D72" s="460">
        <v>20073.259999999998</v>
      </c>
      <c r="E72" s="460">
        <v>26145.42</v>
      </c>
      <c r="F72" s="460">
        <v>37839.879999999997</v>
      </c>
      <c r="G72" s="460">
        <v>41697.019999999997</v>
      </c>
      <c r="H72" s="460">
        <v>38737.89</v>
      </c>
      <c r="I72" s="460">
        <v>76319.45</v>
      </c>
      <c r="J72" s="460">
        <v>48806.58</v>
      </c>
      <c r="K72" s="460"/>
      <c r="L72" s="460"/>
      <c r="M72" s="461"/>
      <c r="N72" s="461">
        <f t="shared" si="3"/>
        <v>341179.25</v>
      </c>
      <c r="O72" s="460">
        <f>SUM('MTRT 2016'!B69:J69)</f>
        <v>356969</v>
      </c>
      <c r="P72" s="655">
        <f t="shared" si="5"/>
        <v>-4.4232832542881906E-2</v>
      </c>
      <c r="Q72" s="598">
        <f t="shared" si="6"/>
        <v>4.2656328940926642E-2</v>
      </c>
    </row>
    <row r="73" spans="1:17">
      <c r="A73" s="241" t="s">
        <v>218</v>
      </c>
      <c r="B73" s="489">
        <v>109.99</v>
      </c>
      <c r="C73" s="489">
        <v>67.150000000000006</v>
      </c>
      <c r="D73" s="489">
        <v>63.69</v>
      </c>
      <c r="E73" s="489">
        <v>83.94</v>
      </c>
      <c r="F73" s="489">
        <v>155.93</v>
      </c>
      <c r="G73" s="489">
        <v>2984.89</v>
      </c>
      <c r="H73" s="489">
        <v>1764.82</v>
      </c>
      <c r="I73" s="489">
        <v>2360.33</v>
      </c>
      <c r="J73" s="489">
        <v>532.22</v>
      </c>
      <c r="K73" s="489"/>
      <c r="L73" s="489"/>
      <c r="M73" s="659"/>
      <c r="N73" s="603">
        <f t="shared" si="3"/>
        <v>8122.96</v>
      </c>
      <c r="O73" s="657">
        <f>SUM('MTRT 2016'!B70:J70)</f>
        <v>10860.349999999999</v>
      </c>
      <c r="P73" s="676">
        <f t="shared" si="5"/>
        <v>-0.25205357101750858</v>
      </c>
      <c r="Q73" s="623">
        <f t="shared" si="6"/>
        <v>1.0155824357254712E-3</v>
      </c>
    </row>
    <row r="74" spans="1:17">
      <c r="A74" s="241" t="s">
        <v>219</v>
      </c>
      <c r="B74" s="489">
        <v>4453.8599999999997</v>
      </c>
      <c r="C74" s="489">
        <v>3646.54</v>
      </c>
      <c r="D74" s="489">
        <v>2720.3</v>
      </c>
      <c r="E74" s="489">
        <v>4178.66</v>
      </c>
      <c r="F74" s="489">
        <v>6520.55</v>
      </c>
      <c r="G74" s="489">
        <v>4644.55</v>
      </c>
      <c r="H74" s="489">
        <v>4862.22</v>
      </c>
      <c r="I74" s="489">
        <v>12345.36</v>
      </c>
      <c r="J74" s="489">
        <v>7266.6</v>
      </c>
      <c r="K74" s="489"/>
      <c r="L74" s="489"/>
      <c r="M74" s="659"/>
      <c r="N74" s="603">
        <f t="shared" si="3"/>
        <v>50638.64</v>
      </c>
      <c r="O74" s="657">
        <f>SUM('MTRT 2016'!B71:J71)</f>
        <v>58930.200000000004</v>
      </c>
      <c r="P74" s="676">
        <f t="shared" si="5"/>
        <v>-0.14070137213177636</v>
      </c>
      <c r="Q74" s="623">
        <f t="shared" si="6"/>
        <v>6.3311543271203198E-3</v>
      </c>
    </row>
    <row r="75" spans="1:17" s="154" customFormat="1">
      <c r="A75" s="241" t="s">
        <v>220</v>
      </c>
      <c r="B75" s="491">
        <v>3264.08</v>
      </c>
      <c r="C75" s="489">
        <v>494.97</v>
      </c>
      <c r="D75" s="489">
        <v>1931.94</v>
      </c>
      <c r="E75" s="489">
        <v>1881.33</v>
      </c>
      <c r="F75" s="489">
        <v>2125.2600000000002</v>
      </c>
      <c r="G75" s="489">
        <v>2130.77</v>
      </c>
      <c r="H75" s="489">
        <v>2380.6799999999998</v>
      </c>
      <c r="I75" s="489">
        <v>2955.15</v>
      </c>
      <c r="J75" s="489">
        <v>3432.21</v>
      </c>
      <c r="K75" s="489"/>
      <c r="L75" s="489"/>
      <c r="M75" s="659"/>
      <c r="N75" s="603">
        <f t="shared" si="3"/>
        <v>20596.39</v>
      </c>
      <c r="O75" s="657">
        <f>SUM('MTRT 2016'!B72:J72)</f>
        <v>13455.37</v>
      </c>
      <c r="P75" s="676">
        <f t="shared" si="5"/>
        <v>0.53071896202036783</v>
      </c>
      <c r="Q75" s="623">
        <f t="shared" si="6"/>
        <v>2.5750873971251533E-3</v>
      </c>
    </row>
    <row r="76" spans="1:17">
      <c r="A76" s="560" t="s">
        <v>221</v>
      </c>
      <c r="B76" s="460">
        <v>231474.79</v>
      </c>
      <c r="C76" s="460">
        <v>216356.88</v>
      </c>
      <c r="D76" s="460">
        <v>208435.43</v>
      </c>
      <c r="E76" s="460">
        <v>273293.92</v>
      </c>
      <c r="F76" s="460">
        <v>297256.21000000002</v>
      </c>
      <c r="G76" s="460">
        <v>219500.31</v>
      </c>
      <c r="H76" s="460">
        <v>292036.84999999998</v>
      </c>
      <c r="I76" s="460">
        <v>415648.52</v>
      </c>
      <c r="J76" s="460">
        <v>380273.53</v>
      </c>
      <c r="K76" s="460"/>
      <c r="L76" s="460"/>
      <c r="M76" s="461"/>
      <c r="N76" s="461">
        <f t="shared" si="3"/>
        <v>2534276.4400000004</v>
      </c>
      <c r="O76" s="460">
        <f>SUM('MTRT 2016'!B73:J73)</f>
        <v>2265363.2000000002</v>
      </c>
      <c r="P76" s="655">
        <f t="shared" si="5"/>
        <v>0.11870645731333518</v>
      </c>
      <c r="Q76" s="598">
        <f t="shared" si="6"/>
        <v>0.31685083266898723</v>
      </c>
    </row>
    <row r="77" spans="1:17">
      <c r="A77" s="241" t="s">
        <v>222</v>
      </c>
      <c r="B77" s="489">
        <v>16127.97</v>
      </c>
      <c r="C77" s="489">
        <v>10347.84</v>
      </c>
      <c r="D77" s="489">
        <v>9681</v>
      </c>
      <c r="E77" s="489">
        <v>18224.54</v>
      </c>
      <c r="F77" s="489">
        <v>19554.650000000001</v>
      </c>
      <c r="G77" s="489">
        <v>7362.22</v>
      </c>
      <c r="H77" s="489">
        <v>18533.37</v>
      </c>
      <c r="I77" s="489">
        <v>23620.5</v>
      </c>
      <c r="J77" s="489">
        <v>20779.669999999998</v>
      </c>
      <c r="K77" s="489"/>
      <c r="L77" s="489"/>
      <c r="M77" s="659"/>
      <c r="N77" s="603">
        <f t="shared" si="3"/>
        <v>144231.76</v>
      </c>
      <c r="O77" s="657">
        <f>SUM('MTRT 2016'!B74:J74)</f>
        <v>106953.3</v>
      </c>
      <c r="P77" s="676">
        <f t="shared" si="5"/>
        <v>0.34854894612882448</v>
      </c>
      <c r="Q77" s="623">
        <f t="shared" si="6"/>
        <v>1.803274202135325E-2</v>
      </c>
    </row>
    <row r="78" spans="1:17">
      <c r="A78" s="241" t="s">
        <v>223</v>
      </c>
      <c r="B78" s="489">
        <v>30.2</v>
      </c>
      <c r="C78" s="489">
        <v>39.14</v>
      </c>
      <c r="D78" s="489">
        <v>37.39</v>
      </c>
      <c r="E78" s="489">
        <v>81.84</v>
      </c>
      <c r="F78" s="489">
        <v>48.79</v>
      </c>
      <c r="G78" s="489">
        <v>0</v>
      </c>
      <c r="H78" s="489">
        <v>37.479999999999997</v>
      </c>
      <c r="I78" s="489">
        <v>29.22</v>
      </c>
      <c r="J78" s="489">
        <v>71.959999999999994</v>
      </c>
      <c r="K78" s="489"/>
      <c r="L78" s="489"/>
      <c r="M78" s="659"/>
      <c r="N78" s="603">
        <f t="shared" si="3"/>
        <v>376.01999999999992</v>
      </c>
      <c r="O78" s="657">
        <f>SUM('MTRT 2016'!B75:J75)</f>
        <v>111.32</v>
      </c>
      <c r="P78" s="676">
        <f t="shared" si="5"/>
        <v>2.3778296802012213</v>
      </c>
      <c r="Q78" s="623">
        <f t="shared" si="6"/>
        <v>4.7012333863701357E-5</v>
      </c>
    </row>
    <row r="79" spans="1:17">
      <c r="A79" s="241" t="s">
        <v>224</v>
      </c>
      <c r="B79" s="489">
        <v>10451.34</v>
      </c>
      <c r="C79" s="489">
        <v>8197.01</v>
      </c>
      <c r="D79" s="489">
        <v>9311.2999999999993</v>
      </c>
      <c r="E79" s="489">
        <v>9639.91</v>
      </c>
      <c r="F79" s="489">
        <v>13635.49</v>
      </c>
      <c r="G79" s="489">
        <v>12723.2</v>
      </c>
      <c r="H79" s="489">
        <v>14072.14</v>
      </c>
      <c r="I79" s="489">
        <v>17163.47</v>
      </c>
      <c r="J79" s="489">
        <v>17607.38</v>
      </c>
      <c r="K79" s="489"/>
      <c r="L79" s="489"/>
      <c r="M79" s="659"/>
      <c r="N79" s="603">
        <f t="shared" si="3"/>
        <v>112801.24</v>
      </c>
      <c r="O79" s="657">
        <f>SUM('MTRT 2016'!B76:J76)</f>
        <v>101444.49</v>
      </c>
      <c r="P79" s="676">
        <f t="shared" si="5"/>
        <v>0.11195038784265177</v>
      </c>
      <c r="Q79" s="623">
        <f t="shared" si="6"/>
        <v>1.4103105034624502E-2</v>
      </c>
    </row>
    <row r="80" spans="1:17">
      <c r="A80" s="241" t="s">
        <v>225</v>
      </c>
      <c r="B80" s="489">
        <v>817.38</v>
      </c>
      <c r="C80" s="489">
        <v>828.4</v>
      </c>
      <c r="D80" s="489">
        <v>577.32000000000005</v>
      </c>
      <c r="E80" s="489">
        <v>634.58000000000004</v>
      </c>
      <c r="F80" s="489">
        <v>870.72</v>
      </c>
      <c r="G80" s="489">
        <v>862.14</v>
      </c>
      <c r="H80" s="489">
        <v>886.12</v>
      </c>
      <c r="I80" s="489">
        <v>1178.08</v>
      </c>
      <c r="J80" s="489">
        <v>1299.23</v>
      </c>
      <c r="K80" s="489"/>
      <c r="L80" s="489"/>
      <c r="M80" s="659"/>
      <c r="N80" s="603">
        <f t="shared" si="3"/>
        <v>7953.9699999999993</v>
      </c>
      <c r="O80" s="657">
        <f>SUM('MTRT 2016'!B77:J77)</f>
        <v>7159.2599999999993</v>
      </c>
      <c r="P80" s="676">
        <f t="shared" si="5"/>
        <v>0.11100448929079265</v>
      </c>
      <c r="Q80" s="623">
        <f t="shared" si="6"/>
        <v>9.9445426621420333E-4</v>
      </c>
    </row>
    <row r="81" spans="1:17">
      <c r="A81" s="241" t="s">
        <v>226</v>
      </c>
      <c r="B81" s="489">
        <v>27944.909999999996</v>
      </c>
      <c r="C81" s="489">
        <v>26644.36</v>
      </c>
      <c r="D81" s="489">
        <v>26577.439999999999</v>
      </c>
      <c r="E81" s="489">
        <v>32883.279999999999</v>
      </c>
      <c r="F81" s="489">
        <v>36282.129999999997</v>
      </c>
      <c r="G81" s="489">
        <v>33512.910000000003</v>
      </c>
      <c r="H81" s="489">
        <v>30107.1</v>
      </c>
      <c r="I81" s="489">
        <v>50538.229999999901</v>
      </c>
      <c r="J81" s="489">
        <v>44079.31</v>
      </c>
      <c r="K81" s="489"/>
      <c r="L81" s="489"/>
      <c r="M81" s="659"/>
      <c r="N81" s="603">
        <f t="shared" si="3"/>
        <v>308569.66999999993</v>
      </c>
      <c r="O81" s="657">
        <f>SUM('MTRT 2016'!B78:J78)</f>
        <v>297650.96000000002</v>
      </c>
      <c r="P81" s="676">
        <f t="shared" si="5"/>
        <v>3.6682932250579281E-2</v>
      </c>
      <c r="Q81" s="623">
        <f t="shared" si="6"/>
        <v>3.8579278618829191E-2</v>
      </c>
    </row>
    <row r="82" spans="1:17" s="154" customFormat="1">
      <c r="A82" s="241" t="s">
        <v>227</v>
      </c>
      <c r="B82" s="489">
        <v>4472.66</v>
      </c>
      <c r="C82" s="489">
        <v>2640.28</v>
      </c>
      <c r="D82" s="489">
        <v>3853.78</v>
      </c>
      <c r="E82" s="489">
        <v>5601.53</v>
      </c>
      <c r="F82" s="489">
        <v>5445.87</v>
      </c>
      <c r="G82" s="489">
        <v>6542.23</v>
      </c>
      <c r="H82" s="489">
        <v>9111.65</v>
      </c>
      <c r="I82" s="489">
        <v>7733</v>
      </c>
      <c r="J82" s="489">
        <v>11352.49</v>
      </c>
      <c r="K82" s="489"/>
      <c r="L82" s="489"/>
      <c r="M82" s="659"/>
      <c r="N82" s="603">
        <f t="shared" si="3"/>
        <v>56753.49</v>
      </c>
      <c r="O82" s="657">
        <f>SUM('MTRT 2016'!B79:J79)</f>
        <v>53301.460000000006</v>
      </c>
      <c r="P82" s="676">
        <f t="shared" si="5"/>
        <v>6.4764267245212226E-2</v>
      </c>
      <c r="Q82" s="623">
        <f t="shared" si="6"/>
        <v>7.0956704957455376E-3</v>
      </c>
    </row>
    <row r="83" spans="1:17">
      <c r="A83" s="560" t="s">
        <v>228</v>
      </c>
      <c r="B83" s="460">
        <v>46871.39</v>
      </c>
      <c r="C83" s="460">
        <v>259599.06</v>
      </c>
      <c r="D83" s="460">
        <v>271904.98</v>
      </c>
      <c r="E83" s="460">
        <v>237293.63</v>
      </c>
      <c r="F83" s="460">
        <v>220503.9</v>
      </c>
      <c r="G83" s="460">
        <v>53704.73</v>
      </c>
      <c r="H83" s="460">
        <v>71952.429999999993</v>
      </c>
      <c r="I83" s="460">
        <v>161300.03</v>
      </c>
      <c r="J83" s="460">
        <v>195295.12</v>
      </c>
      <c r="K83" s="460"/>
      <c r="L83" s="460"/>
      <c r="M83" s="461"/>
      <c r="N83" s="461">
        <f t="shared" si="3"/>
        <v>1518425.27</v>
      </c>
      <c r="O83" s="460">
        <f>SUM('MTRT 2016'!B80:J80)</f>
        <v>1392672.27</v>
      </c>
      <c r="P83" s="655">
        <f t="shared" si="5"/>
        <v>9.0296190072054694E-2</v>
      </c>
      <c r="Q83" s="598">
        <f t="shared" si="6"/>
        <v>0.18984286936950401</v>
      </c>
    </row>
    <row r="84" spans="1:17">
      <c r="A84" s="241" t="s">
        <v>229</v>
      </c>
      <c r="B84" s="489">
        <v>2434.89</v>
      </c>
      <c r="C84" s="489">
        <v>7471.23</v>
      </c>
      <c r="D84" s="489">
        <v>5573.52</v>
      </c>
      <c r="E84" s="489">
        <v>4696.5</v>
      </c>
      <c r="F84" s="489">
        <v>6873.65</v>
      </c>
      <c r="G84" s="489">
        <v>1582.55</v>
      </c>
      <c r="H84" s="489">
        <v>2466.31</v>
      </c>
      <c r="I84" s="489">
        <v>6159.42</v>
      </c>
      <c r="J84" s="489">
        <v>4142.51</v>
      </c>
      <c r="K84" s="489"/>
      <c r="L84" s="489"/>
      <c r="M84" s="659"/>
      <c r="N84" s="603">
        <f t="shared" si="3"/>
        <v>41400.58</v>
      </c>
      <c r="O84" s="657">
        <f>SUM('MTRT 2016'!B81:J81)</f>
        <v>35221.17</v>
      </c>
      <c r="P84" s="676">
        <f t="shared" si="5"/>
        <v>0.1754459036993945</v>
      </c>
      <c r="Q84" s="623">
        <f t="shared" si="6"/>
        <v>5.1761552287401674E-3</v>
      </c>
    </row>
    <row r="85" spans="1:17" s="154" customFormat="1">
      <c r="A85" s="241" t="s">
        <v>230</v>
      </c>
      <c r="B85" s="485">
        <v>3626.14</v>
      </c>
      <c r="C85" s="485">
        <v>8471.5499999999993</v>
      </c>
      <c r="D85" s="485">
        <v>11611.44</v>
      </c>
      <c r="E85" s="485">
        <v>2809.24</v>
      </c>
      <c r="F85" s="485">
        <v>2833.73</v>
      </c>
      <c r="G85" s="485">
        <v>1747.8</v>
      </c>
      <c r="H85" s="485">
        <v>2554.1999999999998</v>
      </c>
      <c r="I85" s="485">
        <v>10826.68</v>
      </c>
      <c r="J85" s="485">
        <v>18568.02</v>
      </c>
      <c r="K85" s="485"/>
      <c r="L85" s="485"/>
      <c r="M85" s="486"/>
      <c r="N85" s="603">
        <f t="shared" si="3"/>
        <v>63048.799999999988</v>
      </c>
      <c r="O85" s="657">
        <f>SUM('MTRT 2016'!B82:J82)</f>
        <v>62184.25</v>
      </c>
      <c r="P85" s="676">
        <f t="shared" si="5"/>
        <v>1.3903038148727287E-2</v>
      </c>
      <c r="Q85" s="623">
        <f t="shared" si="6"/>
        <v>7.8827488838512164E-3</v>
      </c>
    </row>
    <row r="86" spans="1:17">
      <c r="A86" s="560" t="s">
        <v>231</v>
      </c>
      <c r="B86" s="460">
        <v>412312.3</v>
      </c>
      <c r="C86" s="460">
        <v>339731.05</v>
      </c>
      <c r="D86" s="460">
        <v>310739.40000000002</v>
      </c>
      <c r="E86" s="460">
        <v>512700.85</v>
      </c>
      <c r="F86" s="460">
        <v>737859.91</v>
      </c>
      <c r="G86" s="460">
        <v>723038.82</v>
      </c>
      <c r="H86" s="460">
        <v>697423.33</v>
      </c>
      <c r="I86" s="460">
        <v>952402.54</v>
      </c>
      <c r="J86" s="460">
        <v>653322.77</v>
      </c>
      <c r="K86" s="460"/>
      <c r="L86" s="460"/>
      <c r="M86" s="461"/>
      <c r="N86" s="461">
        <f t="shared" si="3"/>
        <v>5339530.9700000007</v>
      </c>
      <c r="O86" s="460">
        <f>SUM('MTRT 2016'!B83:J83)</f>
        <v>4616345.0999999996</v>
      </c>
      <c r="P86" s="655">
        <f t="shared" si="5"/>
        <v>0.15665767058879565</v>
      </c>
      <c r="Q86" s="598">
        <f t="shared" si="6"/>
        <v>0.66758101334294251</v>
      </c>
    </row>
    <row r="87" spans="1:17">
      <c r="A87" s="241" t="s">
        <v>232</v>
      </c>
      <c r="B87" s="485">
        <v>3873.31</v>
      </c>
      <c r="C87" s="485">
        <v>5604.79</v>
      </c>
      <c r="D87" s="485">
        <v>4564.67</v>
      </c>
      <c r="E87" s="485">
        <v>8836.19</v>
      </c>
      <c r="F87" s="485">
        <v>17913.25</v>
      </c>
      <c r="G87" s="485">
        <v>12964.9</v>
      </c>
      <c r="H87" s="485">
        <v>11474.61</v>
      </c>
      <c r="I87" s="485">
        <v>23334.76</v>
      </c>
      <c r="J87" s="485">
        <v>10869.64</v>
      </c>
      <c r="K87" s="485"/>
      <c r="L87" s="485"/>
      <c r="M87" s="486"/>
      <c r="N87" s="603">
        <f t="shared" si="3"/>
        <v>99436.12</v>
      </c>
      <c r="O87" s="657">
        <f>SUM('MTRT 2016'!B84:J84)</f>
        <v>67271.25</v>
      </c>
      <c r="P87" s="676">
        <f t="shared" si="5"/>
        <v>0.47813694557481834</v>
      </c>
      <c r="Q87" s="623">
        <f t="shared" si="6"/>
        <v>1.2432115503300549E-2</v>
      </c>
    </row>
    <row r="88" spans="1:17">
      <c r="A88" s="241" t="s">
        <v>233</v>
      </c>
      <c r="B88" s="489">
        <v>10285.68</v>
      </c>
      <c r="C88" s="489">
        <v>6289.62</v>
      </c>
      <c r="D88" s="489">
        <v>5436.91</v>
      </c>
      <c r="E88" s="489">
        <v>7552.57</v>
      </c>
      <c r="F88" s="489">
        <v>13143.74</v>
      </c>
      <c r="G88" s="489">
        <v>16321.63</v>
      </c>
      <c r="H88" s="489">
        <v>15792.35</v>
      </c>
      <c r="I88" s="489">
        <v>10175.02</v>
      </c>
      <c r="J88" s="489">
        <v>6679.28</v>
      </c>
      <c r="K88" s="489"/>
      <c r="L88" s="489"/>
      <c r="M88" s="659"/>
      <c r="N88" s="603">
        <f t="shared" si="3"/>
        <v>91676.800000000003</v>
      </c>
      <c r="O88" s="657">
        <f>SUM('MTRT 2016'!B85:J85)</f>
        <v>84100.36</v>
      </c>
      <c r="P88" s="676">
        <f t="shared" si="5"/>
        <v>9.0088080479084676E-2</v>
      </c>
      <c r="Q88" s="623">
        <f t="shared" si="6"/>
        <v>1.146199757767081E-2</v>
      </c>
    </row>
    <row r="89" spans="1:17">
      <c r="A89" s="241" t="s">
        <v>234</v>
      </c>
      <c r="B89" s="489">
        <v>1337.67</v>
      </c>
      <c r="C89" s="489">
        <v>1996.98</v>
      </c>
      <c r="D89" s="489">
        <v>737.21</v>
      </c>
      <c r="E89" s="489">
        <v>1779.39</v>
      </c>
      <c r="F89" s="489">
        <v>2999.6</v>
      </c>
      <c r="G89" s="489">
        <v>2380.91</v>
      </c>
      <c r="H89" s="489">
        <v>3034.77</v>
      </c>
      <c r="I89" s="489">
        <v>8956.9599999999991</v>
      </c>
      <c r="J89" s="489">
        <v>2520.1799999999998</v>
      </c>
      <c r="K89" s="489"/>
      <c r="L89" s="489"/>
      <c r="M89" s="659"/>
      <c r="N89" s="603">
        <f t="shared" si="3"/>
        <v>25743.67</v>
      </c>
      <c r="O89" s="657">
        <f>SUM('MTRT 2016'!B86:J86)</f>
        <v>19270.77</v>
      </c>
      <c r="P89" s="676">
        <f t="shared" si="5"/>
        <v>0.33589213093197623</v>
      </c>
      <c r="Q89" s="623">
        <f t="shared" si="6"/>
        <v>3.2186320113742699E-3</v>
      </c>
    </row>
    <row r="90" spans="1:17">
      <c r="A90" s="241" t="s">
        <v>235</v>
      </c>
      <c r="B90" s="489">
        <v>185.78</v>
      </c>
      <c r="C90" s="489">
        <v>144.24</v>
      </c>
      <c r="D90" s="489">
        <v>41</v>
      </c>
      <c r="E90" s="489">
        <v>227.5</v>
      </c>
      <c r="F90" s="489">
        <v>48.35</v>
      </c>
      <c r="G90" s="489">
        <v>0</v>
      </c>
      <c r="H90" s="489">
        <v>93.14</v>
      </c>
      <c r="I90" s="489">
        <v>624.71</v>
      </c>
      <c r="J90" s="489">
        <v>31.15</v>
      </c>
      <c r="K90" s="489"/>
      <c r="L90" s="489"/>
      <c r="M90" s="659"/>
      <c r="N90" s="603">
        <f t="shared" si="3"/>
        <v>1395.8700000000001</v>
      </c>
      <c r="O90" s="657">
        <f>SUM('MTRT 2016'!B87:J87)</f>
        <v>982.96</v>
      </c>
      <c r="P90" s="676">
        <f t="shared" si="5"/>
        <v>0.42006795800439489</v>
      </c>
      <c r="Q90" s="623">
        <f t="shared" si="6"/>
        <v>1.7452025549259304E-4</v>
      </c>
    </row>
    <row r="91" spans="1:17">
      <c r="A91" s="241" t="s">
        <v>236</v>
      </c>
      <c r="B91" s="485">
        <v>43823.38</v>
      </c>
      <c r="C91" s="485">
        <v>38938.49</v>
      </c>
      <c r="D91" s="485">
        <v>46224.38</v>
      </c>
      <c r="E91" s="485">
        <v>69956.98</v>
      </c>
      <c r="F91" s="485">
        <v>84211.87</v>
      </c>
      <c r="G91" s="485">
        <v>69411.39</v>
      </c>
      <c r="H91" s="485">
        <v>63184.06</v>
      </c>
      <c r="I91" s="485">
        <v>70615.759999999995</v>
      </c>
      <c r="J91" s="485">
        <v>64858.879999999997</v>
      </c>
      <c r="K91" s="485"/>
      <c r="L91" s="485"/>
      <c r="M91" s="486"/>
      <c r="N91" s="603">
        <f t="shared" si="3"/>
        <v>551225.18999999994</v>
      </c>
      <c r="O91" s="657">
        <f>SUM('MTRT 2016'!B88:J88)</f>
        <v>511394.51</v>
      </c>
      <c r="P91" s="676">
        <f t="shared" si="5"/>
        <v>7.7886405155190186E-2</v>
      </c>
      <c r="Q91" s="623">
        <f t="shared" si="6"/>
        <v>6.8917564667736339E-2</v>
      </c>
    </row>
    <row r="92" spans="1:17">
      <c r="A92" s="241" t="s">
        <v>237</v>
      </c>
      <c r="B92" s="485">
        <v>907.38</v>
      </c>
      <c r="C92" s="485">
        <v>1585.32</v>
      </c>
      <c r="D92" s="485">
        <v>662.51</v>
      </c>
      <c r="E92" s="485">
        <v>2365.77</v>
      </c>
      <c r="F92" s="485">
        <v>2428.54</v>
      </c>
      <c r="G92" s="485">
        <v>3406</v>
      </c>
      <c r="H92" s="485">
        <v>1538.36</v>
      </c>
      <c r="I92" s="485">
        <v>4127.7299999999996</v>
      </c>
      <c r="J92" s="485">
        <v>2620.61</v>
      </c>
      <c r="K92" s="485"/>
      <c r="L92" s="485"/>
      <c r="M92" s="486"/>
      <c r="N92" s="603">
        <f t="shared" si="3"/>
        <v>19642.22</v>
      </c>
      <c r="O92" s="657">
        <f>SUM('MTRT 2016'!B89:J89)</f>
        <v>10733.6</v>
      </c>
      <c r="P92" s="676">
        <f t="shared" si="5"/>
        <v>0.82997503167623177</v>
      </c>
      <c r="Q92" s="623">
        <f t="shared" si="6"/>
        <v>2.4557911931925758E-3</v>
      </c>
    </row>
    <row r="93" spans="1:17">
      <c r="A93" s="241" t="s">
        <v>238</v>
      </c>
      <c r="B93" s="485">
        <v>22248.43</v>
      </c>
      <c r="C93" s="485">
        <v>12419.08</v>
      </c>
      <c r="D93" s="485">
        <v>6676.98</v>
      </c>
      <c r="E93" s="485">
        <v>8630.33</v>
      </c>
      <c r="F93" s="485">
        <v>35681.660000000003</v>
      </c>
      <c r="G93" s="485">
        <v>50928.92</v>
      </c>
      <c r="H93" s="485">
        <v>56977.2</v>
      </c>
      <c r="I93" s="485">
        <v>82361.81</v>
      </c>
      <c r="J93" s="485">
        <v>51461.78</v>
      </c>
      <c r="K93" s="485"/>
      <c r="L93" s="485"/>
      <c r="M93" s="486"/>
      <c r="N93" s="603">
        <f t="shared" si="3"/>
        <v>327386.19000000006</v>
      </c>
      <c r="O93" s="657">
        <f>SUM('MTRT 2016'!B90:J90)</f>
        <v>276038.50999999995</v>
      </c>
      <c r="P93" s="676">
        <f t="shared" si="5"/>
        <v>0.1860163641660002</v>
      </c>
      <c r="Q93" s="623">
        <f t="shared" si="6"/>
        <v>4.0931835717901106E-2</v>
      </c>
    </row>
    <row r="94" spans="1:17">
      <c r="A94" s="241" t="s">
        <v>239</v>
      </c>
      <c r="B94" s="485">
        <v>147.32</v>
      </c>
      <c r="C94" s="485">
        <v>904.66</v>
      </c>
      <c r="D94" s="485">
        <v>124.09</v>
      </c>
      <c r="E94" s="485">
        <v>452.75</v>
      </c>
      <c r="F94" s="485">
        <v>313.13</v>
      </c>
      <c r="G94" s="485">
        <v>0</v>
      </c>
      <c r="H94" s="485">
        <v>426.03</v>
      </c>
      <c r="I94" s="485">
        <v>569.66999999999996</v>
      </c>
      <c r="J94" s="485">
        <v>175.68</v>
      </c>
      <c r="K94" s="485"/>
      <c r="L94" s="485"/>
      <c r="M94" s="486"/>
      <c r="N94" s="603">
        <f t="shared" si="3"/>
        <v>3113.3299999999995</v>
      </c>
      <c r="O94" s="657">
        <f>SUM('MTRT 2016'!B91:J91)</f>
        <v>1067.1500000000001</v>
      </c>
      <c r="P94" s="676">
        <f t="shared" si="5"/>
        <v>1.9174249168345585</v>
      </c>
      <c r="Q94" s="623">
        <f t="shared" si="6"/>
        <v>3.8924767136821808E-4</v>
      </c>
    </row>
    <row r="95" spans="1:17" s="154" customFormat="1">
      <c r="A95" s="241" t="s">
        <v>240</v>
      </c>
      <c r="B95" s="485">
        <v>341.17</v>
      </c>
      <c r="C95" s="485">
        <v>445.25</v>
      </c>
      <c r="D95" s="485">
        <v>872.34</v>
      </c>
      <c r="E95" s="485">
        <v>1620.58</v>
      </c>
      <c r="F95" s="485">
        <v>2303.04</v>
      </c>
      <c r="G95" s="485">
        <v>1872.32</v>
      </c>
      <c r="H95" s="485">
        <v>2152.5300000000002</v>
      </c>
      <c r="I95" s="485">
        <v>2442.62</v>
      </c>
      <c r="J95" s="485">
        <v>231.97</v>
      </c>
      <c r="K95" s="485"/>
      <c r="L95" s="485"/>
      <c r="M95" s="486"/>
      <c r="N95" s="603">
        <f t="shared" si="3"/>
        <v>12281.819999999998</v>
      </c>
      <c r="O95" s="657">
        <f>SUM('MTRT 2016'!B92:J92)</f>
        <v>11316.15</v>
      </c>
      <c r="P95" s="676">
        <f t="shared" si="5"/>
        <v>8.5335560239127028E-2</v>
      </c>
      <c r="Q95" s="623">
        <f t="shared" si="6"/>
        <v>1.5355487003188251E-3</v>
      </c>
    </row>
    <row r="96" spans="1:17">
      <c r="A96" s="560" t="s">
        <v>241</v>
      </c>
      <c r="B96" s="460">
        <v>14729.39</v>
      </c>
      <c r="C96" s="460">
        <v>21201.48</v>
      </c>
      <c r="D96" s="460">
        <v>4376.0200000000004</v>
      </c>
      <c r="E96" s="460">
        <v>19239.580000000002</v>
      </c>
      <c r="F96" s="460">
        <v>31.36</v>
      </c>
      <c r="G96" s="460">
        <v>47417.63</v>
      </c>
      <c r="H96" s="460">
        <v>52647.35</v>
      </c>
      <c r="I96" s="460">
        <v>87461.33</v>
      </c>
      <c r="J96" s="460">
        <v>44144.959999999999</v>
      </c>
      <c r="K96" s="460"/>
      <c r="L96" s="460"/>
      <c r="M96" s="461"/>
      <c r="N96" s="461">
        <f t="shared" si="3"/>
        <v>291249.10000000003</v>
      </c>
      <c r="O96" s="460">
        <f>SUM('MTRT 2016'!B93:J93)</f>
        <v>244798.61</v>
      </c>
      <c r="P96" s="655">
        <f>N96/O96-1</f>
        <v>0.18974981107940136</v>
      </c>
      <c r="Q96" s="598">
        <f t="shared" si="6"/>
        <v>3.6413754392592278E-2</v>
      </c>
    </row>
    <row r="97" spans="1:18">
      <c r="A97" s="241" t="s">
        <v>416</v>
      </c>
      <c r="B97" s="485">
        <v>3.12</v>
      </c>
      <c r="C97" s="485">
        <v>3.08</v>
      </c>
      <c r="D97" s="485">
        <v>0.99</v>
      </c>
      <c r="E97" s="485">
        <v>13.69</v>
      </c>
      <c r="F97" s="485">
        <v>31.36</v>
      </c>
      <c r="G97" s="485">
        <v>0</v>
      </c>
      <c r="H97" s="485">
        <v>40.96</v>
      </c>
      <c r="I97" s="485">
        <v>31.18</v>
      </c>
      <c r="J97" s="485">
        <v>22.35</v>
      </c>
      <c r="K97" s="485"/>
      <c r="L97" s="485"/>
      <c r="M97" s="486"/>
      <c r="N97" s="682">
        <f t="shared" si="3"/>
        <v>146.72999999999999</v>
      </c>
      <c r="O97" s="657">
        <f>SUM('MTRT 2016'!B94:J94)</f>
        <v>0</v>
      </c>
      <c r="P97" s="676" t="e">
        <f>N97/O97-1</f>
        <v>#DIV/0!</v>
      </c>
      <c r="Q97" s="681">
        <f t="shared" si="6"/>
        <v>1.8345087356579176E-5</v>
      </c>
    </row>
    <row r="98" spans="1:18" s="154" customFormat="1">
      <c r="A98" s="241" t="s">
        <v>242</v>
      </c>
      <c r="B98" s="485">
        <v>474.05</v>
      </c>
      <c r="C98" s="485">
        <v>116.56</v>
      </c>
      <c r="D98" s="485">
        <v>93.09</v>
      </c>
      <c r="E98" s="485">
        <v>172.59</v>
      </c>
      <c r="F98" s="485">
        <v>20849.669999999998</v>
      </c>
      <c r="G98" s="485">
        <v>1490.73</v>
      </c>
      <c r="H98" s="485">
        <v>1498.49</v>
      </c>
      <c r="I98" s="485">
        <v>955.67</v>
      </c>
      <c r="J98" s="485">
        <v>660.72</v>
      </c>
      <c r="K98" s="485"/>
      <c r="L98" s="485"/>
      <c r="M98" s="486"/>
      <c r="N98" s="603">
        <f t="shared" si="3"/>
        <v>26311.57</v>
      </c>
      <c r="O98" s="657">
        <f>SUM('MTRT 2016'!B95:J95)</f>
        <v>4221.68</v>
      </c>
      <c r="P98" s="676">
        <f t="shared" si="5"/>
        <v>5.2324880142502508</v>
      </c>
      <c r="Q98" s="566">
        <f t="shared" si="6"/>
        <v>3.2896343633800037E-3</v>
      </c>
    </row>
    <row r="99" spans="1:18" s="154" customFormat="1">
      <c r="A99" s="560" t="s">
        <v>243</v>
      </c>
      <c r="B99" s="460">
        <v>110232.14</v>
      </c>
      <c r="C99" s="460">
        <v>114477.68</v>
      </c>
      <c r="D99" s="460">
        <v>107467.95</v>
      </c>
      <c r="E99" s="460">
        <v>140455.63</v>
      </c>
      <c r="F99" s="460">
        <v>162814.03</v>
      </c>
      <c r="G99" s="460">
        <v>111161.75</v>
      </c>
      <c r="H99" s="460">
        <v>129568.45</v>
      </c>
      <c r="I99" s="460">
        <v>179040.42</v>
      </c>
      <c r="J99" s="460">
        <v>169750.34</v>
      </c>
      <c r="K99" s="460"/>
      <c r="L99" s="460"/>
      <c r="M99" s="461"/>
      <c r="N99" s="461">
        <f t="shared" si="3"/>
        <v>1224968.3900000001</v>
      </c>
      <c r="O99" s="460">
        <f>SUM('MTRT 2016'!B96:J96)</f>
        <v>1095147.6499999999</v>
      </c>
      <c r="P99" s="655">
        <f t="shared" si="5"/>
        <v>0.11854176923084325</v>
      </c>
      <c r="Q99" s="598">
        <f t="shared" si="6"/>
        <v>0.15315308473794148</v>
      </c>
    </row>
    <row r="100" spans="1:18">
      <c r="A100" s="241" t="s">
        <v>331</v>
      </c>
      <c r="B100" s="485">
        <v>610.54</v>
      </c>
      <c r="C100" s="485">
        <v>516.04</v>
      </c>
      <c r="D100" s="485">
        <v>657.66</v>
      </c>
      <c r="E100" s="485">
        <v>806.37</v>
      </c>
      <c r="F100" s="485">
        <v>955.09</v>
      </c>
      <c r="G100" s="485">
        <v>752.87</v>
      </c>
      <c r="H100" s="485">
        <v>839.57</v>
      </c>
      <c r="I100" s="485">
        <v>1566.61</v>
      </c>
      <c r="J100" s="485">
        <v>1614.11</v>
      </c>
      <c r="K100" s="485"/>
      <c r="L100" s="485"/>
      <c r="M100" s="486"/>
      <c r="N100" s="603">
        <f t="shared" si="3"/>
        <v>8318.8599999999988</v>
      </c>
      <c r="O100" s="657">
        <f>SUM('MTRT 2016'!B97:J97)</f>
        <v>7277.630000000001</v>
      </c>
      <c r="P100" s="676">
        <f t="shared" si="5"/>
        <v>0.14307267613220209</v>
      </c>
      <c r="Q100" s="623">
        <f t="shared" ref="Q100:Q106" si="7">N100/$N$106</f>
        <v>1.0400750590005604E-3</v>
      </c>
    </row>
    <row r="101" spans="1:18">
      <c r="A101" s="241" t="s">
        <v>356</v>
      </c>
      <c r="B101" s="489">
        <v>2311.23</v>
      </c>
      <c r="C101" s="489">
        <v>1640.43</v>
      </c>
      <c r="D101" s="489">
        <v>1688.92</v>
      </c>
      <c r="E101" s="489">
        <v>1873.37</v>
      </c>
      <c r="F101" s="489">
        <v>3023.82</v>
      </c>
      <c r="G101" s="489">
        <v>2479.33</v>
      </c>
      <c r="H101" s="489">
        <v>3208.77</v>
      </c>
      <c r="I101" s="489">
        <v>4114.8999999999996</v>
      </c>
      <c r="J101" s="489">
        <v>4225.01</v>
      </c>
      <c r="K101" s="489"/>
      <c r="L101" s="489"/>
      <c r="M101" s="659"/>
      <c r="N101" s="603">
        <f t="shared" si="3"/>
        <v>24565.78</v>
      </c>
      <c r="O101" s="657">
        <f>SUM('MTRT 2016'!B98:J98)</f>
        <v>24660.25</v>
      </c>
      <c r="P101" s="676">
        <f t="shared" si="5"/>
        <v>-3.830861406514563E-3</v>
      </c>
      <c r="Q101" s="623">
        <f t="shared" si="7"/>
        <v>3.0713649566040044E-3</v>
      </c>
    </row>
    <row r="102" spans="1:18">
      <c r="A102" s="241" t="s">
        <v>245</v>
      </c>
      <c r="B102" s="489">
        <v>12969.07</v>
      </c>
      <c r="C102" s="489">
        <v>11492.35</v>
      </c>
      <c r="D102" s="489">
        <v>11947.36</v>
      </c>
      <c r="E102" s="489">
        <v>17037.18</v>
      </c>
      <c r="F102" s="489">
        <v>13639</v>
      </c>
      <c r="G102" s="489">
        <v>12516.94</v>
      </c>
      <c r="H102" s="489">
        <v>15104.96</v>
      </c>
      <c r="I102" s="489">
        <v>19996.560000000001</v>
      </c>
      <c r="J102" s="489">
        <v>16385.28</v>
      </c>
      <c r="K102" s="489"/>
      <c r="L102" s="489"/>
      <c r="M102" s="659"/>
      <c r="N102" s="603">
        <f t="shared" si="3"/>
        <v>131088.69999999998</v>
      </c>
      <c r="O102" s="657">
        <f>SUM('MTRT 2016'!B99:J99)</f>
        <v>117114.31</v>
      </c>
      <c r="P102" s="676">
        <f t="shared" si="5"/>
        <v>0.11932265151884502</v>
      </c>
      <c r="Q102" s="623">
        <f t="shared" si="7"/>
        <v>1.6389515797453829E-2</v>
      </c>
    </row>
    <row r="103" spans="1:18">
      <c r="A103" s="241" t="s">
        <v>246</v>
      </c>
      <c r="B103" s="489">
        <v>1036.76</v>
      </c>
      <c r="C103" s="489">
        <v>872.14</v>
      </c>
      <c r="D103" s="489">
        <v>819.96</v>
      </c>
      <c r="E103" s="489">
        <v>884.07</v>
      </c>
      <c r="F103" s="489">
        <v>1257.74</v>
      </c>
      <c r="G103" s="489">
        <v>1212.99</v>
      </c>
      <c r="H103" s="489">
        <v>1266.76</v>
      </c>
      <c r="I103" s="489">
        <v>1654.75</v>
      </c>
      <c r="J103" s="489">
        <v>1853.96</v>
      </c>
      <c r="K103" s="489"/>
      <c r="L103" s="489"/>
      <c r="M103" s="659"/>
      <c r="N103" s="603">
        <f t="shared" si="3"/>
        <v>10859.130000000001</v>
      </c>
      <c r="O103" s="657">
        <f>SUM('MTRT 2016'!B100:J100)</f>
        <v>9107.130000000001</v>
      </c>
      <c r="P103" s="676">
        <f t="shared" si="5"/>
        <v>0.19237674217893019</v>
      </c>
      <c r="Q103" s="623">
        <f t="shared" si="7"/>
        <v>1.357675243416136E-3</v>
      </c>
    </row>
    <row r="104" spans="1:18">
      <c r="A104" s="241" t="s">
        <v>247</v>
      </c>
      <c r="B104" s="489">
        <v>739.96</v>
      </c>
      <c r="C104" s="489">
        <v>721.37</v>
      </c>
      <c r="D104" s="489">
        <v>715.81</v>
      </c>
      <c r="E104" s="489">
        <v>0</v>
      </c>
      <c r="F104" s="489">
        <v>1931.81</v>
      </c>
      <c r="G104" s="489">
        <v>890.2</v>
      </c>
      <c r="H104" s="489">
        <v>1054.0899999999999</v>
      </c>
      <c r="I104" s="489">
        <v>1269.47</v>
      </c>
      <c r="J104" s="489">
        <v>1229.83</v>
      </c>
      <c r="K104" s="489"/>
      <c r="L104" s="489"/>
      <c r="M104" s="659"/>
      <c r="N104" s="603">
        <f t="shared" ref="N104:N105" si="8">SUM(B104:M104)</f>
        <v>8552.5400000000009</v>
      </c>
      <c r="O104" s="657">
        <f>SUM('MTRT 2016'!B101:J101)</f>
        <v>8061.48</v>
      </c>
      <c r="P104" s="676">
        <f t="shared" si="5"/>
        <v>6.0914373043163383E-2</v>
      </c>
      <c r="Q104" s="623">
        <f t="shared" si="7"/>
        <v>1.0692911703171655E-3</v>
      </c>
    </row>
    <row r="105" spans="1:18" ht="13" thickBot="1">
      <c r="A105" s="241" t="s">
        <v>248</v>
      </c>
      <c r="B105" s="489">
        <v>4174.03</v>
      </c>
      <c r="C105" s="489">
        <v>3763.04</v>
      </c>
      <c r="D105" s="489">
        <v>3788.78</v>
      </c>
      <c r="E105" s="489">
        <v>5200.4399999999996</v>
      </c>
      <c r="F105" s="489">
        <v>5522.36</v>
      </c>
      <c r="G105" s="489">
        <v>4900.3999999999996</v>
      </c>
      <c r="H105" s="489">
        <v>5675.41</v>
      </c>
      <c r="I105" s="489">
        <v>7615.52</v>
      </c>
      <c r="J105" s="489">
        <v>6897.08</v>
      </c>
      <c r="K105" s="489"/>
      <c r="L105" s="489"/>
      <c r="M105" s="659"/>
      <c r="N105" s="605">
        <f t="shared" si="8"/>
        <v>47537.060000000012</v>
      </c>
      <c r="O105" s="679">
        <f>SUM('MTRT 2016'!B102:J102)</f>
        <v>45561.7</v>
      </c>
      <c r="P105" s="677">
        <f t="shared" si="5"/>
        <v>4.3355713241604477E-2</v>
      </c>
      <c r="Q105" s="623">
        <f t="shared" si="7"/>
        <v>5.9433757130439987E-3</v>
      </c>
    </row>
    <row r="106" spans="1:18" s="365" customFormat="1" ht="13" thickBot="1">
      <c r="A106" s="455" t="s">
        <v>54</v>
      </c>
      <c r="B106" s="493">
        <f>SUM(B5,B7:B9,B11:B12,B15,B18:B24,B26,B28,B30,B32,B34:B35,B37,B39:B40,B42:B43,B45,B49:B60,B62:B63,B67:B68,B71,B73:B75,B77:B82,B84:B85,B87:B95,B98,B100:B105)</f>
        <v>637418.57000000018</v>
      </c>
      <c r="C106" s="493">
        <f>SUM(C5,C7:C9,C11:C12,C15,C18:C24,C26,C28,C30,C32,C34:C35,C37,C39:C40,C42:C43,C45,C49:C60,C62:C63,C67:C68,C71,C73:C75,C77:C82,C84:C85,C87:C95,C98,C100:C105)</f>
        <v>615213.20000000007</v>
      </c>
      <c r="D106" s="493">
        <f>SUM(D5,D7:D9,D11:D12,D15,D18:D24,D26,D28,D30,D32,D34:D35,D37,D39:D40,D42:D43,D45,D49:D60,D62:D63,D67:D68,D71,D73:D75,D77:D82,D84:D85,D87:D95,D98,D100:D105)</f>
        <v>636392.98</v>
      </c>
      <c r="E106" s="493">
        <f>SUM(E5,E7:E9,E11:E12,E14:E15,E18:E24,E26,E28,E30,E32,E34:E35,E37,E39:E40,E42:E43,E45,E49:E60,E62:E63,E67:E68,E71,E73:E75,E77:E82,E84:E85,E87:E95,E98,E100:E105)</f>
        <v>784767.5499999997</v>
      </c>
      <c r="F106" s="493">
        <f t="shared" ref="F106:M106" si="9">SUM(F5,F7:F9,F11:F12,F15,F18:F24,F26,F28,F30,F32,F34:F35,F37,F39:F40,F42:F43,F45,F49:F60,F62:F63,F67:F68,F71,F73:F75,F77:F82,F84:F85,F87:F95,F98,F100:F105)</f>
        <v>1051435.4200000002</v>
      </c>
      <c r="G106" s="493">
        <f>SUM(G5,G7:G9,G11:G12,G15,G18:G24,G26,G28,G30,G32,G34:G35,G37,G39:G40,G42:G43,G45,G49:G60,G62:G63,G67:G68,G71,G73:G75,G77:G82,G84:G85,G87:G95,G98,G100:G105)</f>
        <v>848253.56999999983</v>
      </c>
      <c r="H106" s="493">
        <f>SUM(H5,H7:H9,H11:H12,H15,H18:H24,H26,H28,H30,H32,H34:H35,H37,H39:H40,H42:H43,H45,H49:H60,H62:H63,H67:H68,H71,H73:H75,H77:H82,H84:H85,H87:H95,H98,H100:H105)</f>
        <v>963160.6399999999</v>
      </c>
      <c r="I106" s="493">
        <f t="shared" si="9"/>
        <v>1322151.6599999995</v>
      </c>
      <c r="J106" s="493">
        <f t="shared" si="9"/>
        <v>1139943.8900000006</v>
      </c>
      <c r="K106" s="493">
        <f t="shared" si="9"/>
        <v>0</v>
      </c>
      <c r="L106" s="493">
        <f t="shared" si="9"/>
        <v>0</v>
      </c>
      <c r="M106" s="493">
        <f t="shared" si="9"/>
        <v>0</v>
      </c>
      <c r="N106" s="661">
        <f t="shared" ref="N106" si="10">SUM(N5,N7:N9,N11:N12,N15,N18:N24,N26,N28,N30,N32,N34:N35,N37,N39:N40,N42:N43,N49:N60,N62:N63,N67:N68,N71,N73:N75,N77:N82,N84:N85,N87:N95,N98,N100:N105)</f>
        <v>7998326.589999998</v>
      </c>
      <c r="O106" s="614">
        <f>SUM('MTRT 2016'!B103:J103)</f>
        <v>6965889.1199999992</v>
      </c>
      <c r="P106" s="672">
        <f>N106/O106-1</f>
        <v>0.14821330805219568</v>
      </c>
      <c r="Q106" s="627">
        <f t="shared" si="7"/>
        <v>1</v>
      </c>
      <c r="R106" s="621"/>
    </row>
    <row r="107" spans="1:18" s="236" customFormat="1" ht="13" thickBot="1">
      <c r="A107" s="537" t="s">
        <v>265</v>
      </c>
      <c r="B107" s="538">
        <f>B106/'MTRT 2016'!B103-1</f>
        <v>0.24574627369721913</v>
      </c>
      <c r="C107" s="538">
        <f>C106/'MTRT 2016'!C103-1</f>
        <v>5.2181651501859605E-2</v>
      </c>
      <c r="D107" s="538">
        <f>D106/'MTRT 2016'!D103-1</f>
        <v>0.16198346923340012</v>
      </c>
      <c r="E107" s="538">
        <f>E106/'MTRT 2016'!E103-1</f>
        <v>0.33580543019190046</v>
      </c>
      <c r="F107" s="538">
        <f>F106/'MTRT 2016'!F103-1</f>
        <v>7.6457502410328004E-2</v>
      </c>
      <c r="G107" s="538">
        <f>G106/'MTRT 2016'!G103-1</f>
        <v>0.14988929998246792</v>
      </c>
      <c r="H107" s="538">
        <f>H106/'MTRT 2016'!H103-1</f>
        <v>7.7983026109979203E-2</v>
      </c>
      <c r="I107" s="538">
        <f>I106/'MTRT 2016'!I103-1</f>
        <v>0.19211959400162448</v>
      </c>
      <c r="J107" s="538">
        <f>J106/'MTRT 2016'!J103-1</f>
        <v>0.12050579250881688</v>
      </c>
      <c r="K107" s="538">
        <f>K106/'MTRT 2016'!K103-1</f>
        <v>-1</v>
      </c>
      <c r="L107" s="538">
        <f>L106/'MTRT 2016'!L103-1</f>
        <v>-1</v>
      </c>
      <c r="M107" s="538">
        <f>M106/'MTRT 2016'!M103-1</f>
        <v>-1</v>
      </c>
      <c r="N107" s="569"/>
      <c r="O107" s="570"/>
      <c r="P107" s="600"/>
      <c r="Q107" s="600"/>
    </row>
    <row r="108" spans="1:18">
      <c r="A108" s="242"/>
      <c r="B108" s="236"/>
      <c r="C108" s="243"/>
      <c r="D108" s="243"/>
      <c r="E108" s="236"/>
      <c r="F108" s="244"/>
      <c r="G108" s="236"/>
      <c r="H108" s="236"/>
      <c r="I108" s="236"/>
      <c r="J108" s="236"/>
      <c r="K108" s="236"/>
      <c r="L108" s="236"/>
      <c r="M108" s="244"/>
      <c r="N108" s="236"/>
      <c r="O108" s="236"/>
    </row>
    <row r="109" spans="1:18">
      <c r="A109" s="208"/>
      <c r="G109" s="117"/>
      <c r="H109" s="117"/>
      <c r="M109" s="245"/>
    </row>
    <row r="110" spans="1:18">
      <c r="A110" s="686" t="s">
        <v>417</v>
      </c>
      <c r="G110" s="117"/>
      <c r="H110" s="117"/>
      <c r="I110" s="100"/>
    </row>
    <row r="111" spans="1:18">
      <c r="A111" s="686" t="s">
        <v>366</v>
      </c>
      <c r="B111" s="247"/>
      <c r="P111" s="601"/>
    </row>
    <row r="112" spans="1:18">
      <c r="A112" s="686" t="s">
        <v>414</v>
      </c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P112" s="229"/>
    </row>
    <row r="113" spans="1:16">
      <c r="A113" s="686" t="s">
        <v>415</v>
      </c>
      <c r="F113" s="243"/>
      <c r="P113" s="229"/>
    </row>
    <row r="114" spans="1:16">
      <c r="F114" s="243"/>
    </row>
    <row r="115" spans="1:16">
      <c r="L115" s="249"/>
    </row>
    <row r="116" spans="1:16">
      <c r="L116" s="118"/>
    </row>
    <row r="117" spans="1:16">
      <c r="L117" s="227"/>
    </row>
    <row r="127" spans="1:16">
      <c r="A127" s="249"/>
    </row>
  </sheetData>
  <mergeCells count="1">
    <mergeCell ref="A1:Q1"/>
  </mergeCells>
  <conditionalFormatting sqref="P4:P106">
    <cfRule type="cellIs" dxfId="7" priority="1" operator="lessThan">
      <formula>0</formula>
    </cfRule>
  </conditionalFormatting>
  <printOptions horizontalCentered="1"/>
  <pageMargins left="0.25" right="0.25" top="0.25" bottom="0.25" header="0" footer="0"/>
  <pageSetup scale="56" orientation="portrait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1"/>
    <pageSetUpPr fitToPage="1"/>
  </sheetPr>
  <dimension ref="A1:U84"/>
  <sheetViews>
    <sheetView workbookViewId="0">
      <selection activeCell="B21" sqref="B21"/>
    </sheetView>
  </sheetViews>
  <sheetFormatPr baseColWidth="10" defaultColWidth="8.83203125" defaultRowHeight="12" x14ac:dyDescent="0"/>
  <cols>
    <col min="2" max="3" width="8.6640625" bestFit="1" customWidth="1"/>
    <col min="6" max="6" width="9.5" bestFit="1" customWidth="1"/>
    <col min="9" max="9" width="8.6640625" bestFit="1" customWidth="1"/>
    <col min="14" max="14" width="9.33203125" customWidth="1"/>
    <col min="15" max="15" width="9.5" bestFit="1" customWidth="1"/>
    <col min="21" max="21" width="13.5" bestFit="1" customWidth="1"/>
  </cols>
  <sheetData>
    <row r="1" spans="1:17" ht="21">
      <c r="A1" s="691" t="s">
        <v>124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</row>
    <row r="2" spans="1:17" ht="13" thickBot="1">
      <c r="A2" s="47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3" thickBot="1">
      <c r="A3" s="155" t="s">
        <v>42</v>
      </c>
      <c r="B3" s="156" t="s">
        <v>2</v>
      </c>
      <c r="C3" s="157" t="s">
        <v>3</v>
      </c>
      <c r="D3" s="156" t="s">
        <v>4</v>
      </c>
      <c r="E3" s="156" t="s">
        <v>5</v>
      </c>
      <c r="F3" s="156" t="s">
        <v>6</v>
      </c>
      <c r="G3" s="156" t="s">
        <v>7</v>
      </c>
      <c r="H3" s="156" t="s">
        <v>8</v>
      </c>
      <c r="I3" s="156" t="s">
        <v>9</v>
      </c>
      <c r="J3" s="156" t="s">
        <v>10</v>
      </c>
      <c r="K3" s="156" t="s">
        <v>11</v>
      </c>
      <c r="L3" s="156" t="s">
        <v>12</v>
      </c>
      <c r="M3" s="158" t="s">
        <v>13</v>
      </c>
      <c r="N3" s="159" t="s">
        <v>127</v>
      </c>
      <c r="O3" s="156" t="s">
        <v>119</v>
      </c>
      <c r="P3" s="160" t="s">
        <v>16</v>
      </c>
      <c r="Q3" s="161" t="s">
        <v>58</v>
      </c>
    </row>
    <row r="4" spans="1:17">
      <c r="A4" s="92" t="s">
        <v>17</v>
      </c>
      <c r="B4" s="36">
        <f>'R 2013'!B4+'TRT 2013'!B4</f>
        <v>11224.68</v>
      </c>
      <c r="C4" s="36">
        <f>'R 2013'!C4+'TRT 2013'!C4</f>
        <v>37155.06</v>
      </c>
      <c r="D4" s="36">
        <f>'R 2013'!D4+'TRT 2013'!D4</f>
        <v>11756</v>
      </c>
      <c r="E4" s="36">
        <f>'R 2013'!E4+'TRT 2013'!E4</f>
        <v>10356.150000000001</v>
      </c>
      <c r="F4" s="36">
        <f>'R 2013'!F4+'TRT 2013'!F4</f>
        <v>41144.589999999997</v>
      </c>
      <c r="G4" s="36">
        <f>'R 2013'!G4+'TRT 2013'!G4</f>
        <v>12074.6</v>
      </c>
      <c r="H4" s="36">
        <f>'R 2013'!H4+'TRT 2013'!H4</f>
        <v>19182.620000000003</v>
      </c>
      <c r="I4" s="36">
        <f>'R 2013'!I4+'TRT 2013'!I4</f>
        <v>48172.399999999994</v>
      </c>
      <c r="J4" s="36">
        <f>'R 2013'!J4+'TRT 2013'!J4</f>
        <v>20726.12</v>
      </c>
      <c r="K4" s="36">
        <f>'R 2013'!K4+'TRT 2013'!K4</f>
        <v>21543.97</v>
      </c>
      <c r="L4" s="36">
        <f>'R 2013'!L4+'TRT 2013'!L4</f>
        <v>54873.96</v>
      </c>
      <c r="M4" s="36">
        <f>'R 2013'!M4+'TRT 2013'!M4</f>
        <v>15923.61</v>
      </c>
      <c r="N4" s="81">
        <f t="shared" ref="N4:N32" si="0">SUM(B4:M4)</f>
        <v>304133.76000000001</v>
      </c>
      <c r="O4" s="19">
        <f>SUM('TOTAL 2012'!B4:M4)</f>
        <v>282618.67999999993</v>
      </c>
      <c r="P4" s="84">
        <f t="shared" ref="P4:P33" si="1">N4/O4-1</f>
        <v>7.6127593547602901E-2</v>
      </c>
      <c r="Q4" s="22">
        <f t="shared" ref="Q4:Q32" si="2">N4/$N$33</f>
        <v>3.2479921420246801E-3</v>
      </c>
    </row>
    <row r="5" spans="1:17">
      <c r="A5" s="92" t="s">
        <v>18</v>
      </c>
      <c r="B5" s="19">
        <f>'R 2013'!B5+'TRT 2013'!B5</f>
        <v>38211.440000000002</v>
      </c>
      <c r="C5" s="19">
        <f>'R 2013'!C5+'TRT 2013'!C5</f>
        <v>63150</v>
      </c>
      <c r="D5" s="19">
        <f>'R 2013'!D5+'TRT 2013'!D5</f>
        <v>35606.149999999994</v>
      </c>
      <c r="E5" s="19">
        <f>'R 2013'!E5+'TRT 2013'!E5</f>
        <v>34214.47</v>
      </c>
      <c r="F5" s="19">
        <f>'R 2013'!F5+'TRT 2013'!F5</f>
        <v>65582.66</v>
      </c>
      <c r="G5" s="19">
        <f>'R 2013'!G5+'TRT 2013'!G5</f>
        <v>46835.99</v>
      </c>
      <c r="H5" s="19">
        <f>'R 2013'!H5+'TRT 2013'!H5</f>
        <v>40409.94</v>
      </c>
      <c r="I5" s="19">
        <f>'R 2013'!I5+'TRT 2013'!I5</f>
        <v>94434.06</v>
      </c>
      <c r="J5" s="19">
        <f>'R 2013'!J5+'TRT 2013'!J5</f>
        <v>56966.85</v>
      </c>
      <c r="K5" s="19">
        <f>'R 2013'!K5+'TRT 2013'!K5</f>
        <v>61644.34</v>
      </c>
      <c r="L5" s="19">
        <f>'R 2013'!L5+'TRT 2013'!L5</f>
        <v>73490.73000000001</v>
      </c>
      <c r="M5" s="19">
        <f>'R 2013'!M5+'TRT 2013'!M5</f>
        <v>41885.199999999997</v>
      </c>
      <c r="N5" s="81">
        <f t="shared" si="0"/>
        <v>652431.82999999996</v>
      </c>
      <c r="O5" s="19">
        <f>SUM('TOTAL 2012'!B5:M5)</f>
        <v>617043.47</v>
      </c>
      <c r="P5" s="84">
        <f t="shared" si="1"/>
        <v>5.7351486111667294E-2</v>
      </c>
      <c r="Q5" s="22">
        <f t="shared" si="2"/>
        <v>6.9676364013215161E-3</v>
      </c>
    </row>
    <row r="6" spans="1:17">
      <c r="A6" s="92" t="s">
        <v>19</v>
      </c>
      <c r="B6" s="19">
        <f>'R 2013'!B6+'TRT 2013'!B6</f>
        <v>112485.54000000001</v>
      </c>
      <c r="C6" s="19">
        <f>'R 2013'!C6+'TRT 2013'!C6</f>
        <v>150170.84</v>
      </c>
      <c r="D6" s="19">
        <f>'R 2013'!D6+'TRT 2013'!D6</f>
        <v>101640.87999999999</v>
      </c>
      <c r="E6" s="19">
        <f>'R 2013'!E6+'TRT 2013'!E6</f>
        <v>91761.450000000012</v>
      </c>
      <c r="F6" s="19">
        <f>'R 2013'!F6+'TRT 2013'!F6</f>
        <v>154527.29999999999</v>
      </c>
      <c r="G6" s="19">
        <f>'R 2013'!G6+'TRT 2013'!G6</f>
        <v>119223.75</v>
      </c>
      <c r="H6" s="19">
        <f>'R 2013'!H6+'TRT 2013'!H6</f>
        <v>125806.67</v>
      </c>
      <c r="I6" s="19">
        <f>'R 2013'!I6+'TRT 2013'!I6</f>
        <v>159429.91</v>
      </c>
      <c r="J6" s="19">
        <f>'R 2013'!J6+'TRT 2013'!J6</f>
        <v>137559.69</v>
      </c>
      <c r="K6" s="19">
        <f>'R 2013'!K6+'TRT 2013'!K6</f>
        <v>140320.84999999998</v>
      </c>
      <c r="L6" s="19">
        <f>'R 2013'!L6+'TRT 2013'!L6</f>
        <v>166478.59999999998</v>
      </c>
      <c r="M6" s="19">
        <f>'R 2013'!M6+'TRT 2013'!M6</f>
        <v>123885.68</v>
      </c>
      <c r="N6" s="81">
        <f t="shared" si="0"/>
        <v>1583291.16</v>
      </c>
      <c r="O6" s="19">
        <f>SUM('TOTAL 2012'!B6:M6)</f>
        <v>1492933.8299999998</v>
      </c>
      <c r="P6" s="84">
        <f t="shared" si="1"/>
        <v>6.0523332102401461E-2</v>
      </c>
      <c r="Q6" s="22">
        <f t="shared" si="2"/>
        <v>1.6908735308494328E-2</v>
      </c>
    </row>
    <row r="7" spans="1:17">
      <c r="A7" s="92" t="s">
        <v>20</v>
      </c>
      <c r="B7" s="19">
        <f>'R 2013'!B7+'TRT 2013'!B7</f>
        <v>26370.639999999999</v>
      </c>
      <c r="C7" s="19">
        <f>'R 2013'!C7+'TRT 2013'!C7</f>
        <v>41155.17</v>
      </c>
      <c r="D7" s="19">
        <f>'R 2013'!D7+'TRT 2013'!D7</f>
        <v>24083.73</v>
      </c>
      <c r="E7" s="19">
        <f>'R 2013'!E7+'TRT 2013'!E7</f>
        <v>25272.5</v>
      </c>
      <c r="F7" s="19">
        <f>'R 2013'!F7+'TRT 2013'!F7</f>
        <v>42101.57</v>
      </c>
      <c r="G7" s="19">
        <f>'R 2013'!G7+'TRT 2013'!G7</f>
        <v>36469.54</v>
      </c>
      <c r="H7" s="19">
        <f>'R 2013'!H7+'TRT 2013'!H7</f>
        <v>36378.97</v>
      </c>
      <c r="I7" s="19">
        <f>'R 2013'!I7+'TRT 2013'!I7</f>
        <v>56046.55</v>
      </c>
      <c r="J7" s="19">
        <f>'R 2013'!J7+'TRT 2013'!J7</f>
        <v>41156.33</v>
      </c>
      <c r="K7" s="19">
        <f>'R 2013'!K7+'TRT 2013'!K7</f>
        <v>35736.85</v>
      </c>
      <c r="L7" s="19">
        <f>'R 2013'!L7+'TRT 2013'!L7</f>
        <v>57504.92</v>
      </c>
      <c r="M7" s="19">
        <f>'R 2013'!M7+'TRT 2013'!M7</f>
        <v>40655.340000000004</v>
      </c>
      <c r="N7" s="81">
        <f t="shared" si="0"/>
        <v>462932.11</v>
      </c>
      <c r="O7" s="19">
        <f>SUM('TOTAL 2012'!B7:M7)</f>
        <v>498510.96000000008</v>
      </c>
      <c r="P7" s="84">
        <f t="shared" si="1"/>
        <v>-7.1370246303110507E-2</v>
      </c>
      <c r="Q7" s="22">
        <f t="shared" si="2"/>
        <v>4.9438768506689448E-3</v>
      </c>
    </row>
    <row r="8" spans="1:17">
      <c r="A8" s="92" t="s">
        <v>21</v>
      </c>
      <c r="B8" s="19">
        <f>'R 2013'!B8+'TRT 2013'!B8</f>
        <v>1732.64</v>
      </c>
      <c r="C8" s="19">
        <f>'R 2013'!C8+'TRT 2013'!C8</f>
        <v>2778.97</v>
      </c>
      <c r="D8" s="19">
        <f>'R 2013'!D8+'TRT 2013'!D8</f>
        <v>1263.98</v>
      </c>
      <c r="E8" s="19">
        <f>'R 2013'!E8+'TRT 2013'!E8</f>
        <v>1343.57</v>
      </c>
      <c r="F8" s="19">
        <f>'R 2013'!F8+'TRT 2013'!F8</f>
        <v>4733.54</v>
      </c>
      <c r="G8" s="19">
        <f>'R 2013'!G8+'TRT 2013'!G8</f>
        <v>4408.6400000000003</v>
      </c>
      <c r="H8" s="19">
        <f>'R 2013'!H8+'TRT 2013'!H8</f>
        <v>6625.61</v>
      </c>
      <c r="I8" s="19">
        <f>'R 2013'!I8+'TRT 2013'!I8</f>
        <v>17755.59</v>
      </c>
      <c r="J8" s="19">
        <f>'R 2013'!J8+'TRT 2013'!J8</f>
        <v>15584.55</v>
      </c>
      <c r="K8" s="19">
        <f>'R 2013'!K8+'TRT 2013'!K8</f>
        <v>8501.98</v>
      </c>
      <c r="L8" s="19">
        <f>'R 2013'!L8+'TRT 2013'!L8</f>
        <v>18123.29</v>
      </c>
      <c r="M8" s="19">
        <f>'R 2013'!M8+'TRT 2013'!M8</f>
        <v>4144.1189999999997</v>
      </c>
      <c r="N8" s="81">
        <f t="shared" si="0"/>
        <v>86996.478999999992</v>
      </c>
      <c r="O8" s="19">
        <f>SUM('TOTAL 2012'!B8:M8)</f>
        <v>82749.149999999994</v>
      </c>
      <c r="P8" s="84">
        <f t="shared" si="1"/>
        <v>5.1327765904543909E-2</v>
      </c>
      <c r="Q8" s="22">
        <f t="shared" si="2"/>
        <v>9.2907765377909721E-4</v>
      </c>
    </row>
    <row r="9" spans="1:17">
      <c r="A9" s="151" t="s">
        <v>22</v>
      </c>
      <c r="B9" s="111">
        <f>'R 2013'!B9+'CR 2013'!C4+'TRT 2013'!B9</f>
        <v>315951.84999999998</v>
      </c>
      <c r="C9" s="111">
        <f>'R 2013'!C9+'CR 2013'!D4+'TRT 2013'!C9</f>
        <v>421668.2</v>
      </c>
      <c r="D9" s="111">
        <f>'R 2013'!D9+'CR 2013'!E4+'TRT 2013'!D9</f>
        <v>360491.48</v>
      </c>
      <c r="E9" s="111">
        <f>'R 2013'!E9+'CR 2013'!F4+'TRT 2013'!E9</f>
        <v>297565.39</v>
      </c>
      <c r="F9" s="111">
        <f>'R 2013'!F9+'CR 2013'!G4+'TRT 2013'!F9</f>
        <v>484793.04</v>
      </c>
      <c r="G9" s="111">
        <f>'R 2013'!G9+'CR 2013'!H4+'TRT 2013'!G9</f>
        <v>354009.43</v>
      </c>
      <c r="H9" s="111">
        <f>'R 2013'!H9+'CR 2013'!I4+'TRT 2013'!H9</f>
        <v>449659.43</v>
      </c>
      <c r="I9" s="111">
        <f>'R 2013'!I9+'CR 2013'!J4+'TRT 2013'!I9</f>
        <v>486481.98</v>
      </c>
      <c r="J9" s="111">
        <f>'R 2013'!J9+'CR 2013'!K4+'TRT 2013'!J9</f>
        <v>465191</v>
      </c>
      <c r="K9" s="111">
        <f>'R 2013'!K9+'CR 2013'!L4+'TRT 2013'!K9</f>
        <v>488756.33999999997</v>
      </c>
      <c r="L9" s="111">
        <f>'R 2013'!L9+'CR 2013'!M4+'TRT 2013'!L9</f>
        <v>461669.13</v>
      </c>
      <c r="M9" s="111">
        <f>'R 2013'!M9+'CR 2013'!N4+'TRT 2013'!M9</f>
        <v>388768.89</v>
      </c>
      <c r="N9" s="81">
        <f t="shared" si="0"/>
        <v>4975006.16</v>
      </c>
      <c r="O9" s="19">
        <f>SUM('TOTAL 2012'!B9:M9)</f>
        <v>4760574.5199999996</v>
      </c>
      <c r="P9" s="84">
        <f t="shared" si="1"/>
        <v>4.5043227261570173E-2</v>
      </c>
      <c r="Q9" s="22">
        <f t="shared" si="2"/>
        <v>5.3130507163046868E-2</v>
      </c>
    </row>
    <row r="10" spans="1:17">
      <c r="A10" s="151" t="s">
        <v>23</v>
      </c>
      <c r="B10" s="111">
        <f>'R 2013'!B10+'CR 2013'!C5+'TRT 2013'!B10</f>
        <v>14742.369999999999</v>
      </c>
      <c r="C10" s="111">
        <f>'R 2013'!C10+'CR 2013'!D5+'TRT 2013'!C10</f>
        <v>24325.3</v>
      </c>
      <c r="D10" s="111">
        <f>'R 2013'!D10+'CR 2013'!E5+'TRT 2013'!D10</f>
        <v>18483.310000000001</v>
      </c>
      <c r="E10" s="111">
        <f>'R 2013'!E10+'CR 2013'!F5+'TRT 2013'!E10</f>
        <v>11138.94</v>
      </c>
      <c r="F10" s="111">
        <f>'R 2013'!F10+'CR 2013'!G5+'TRT 2013'!F10</f>
        <v>21888.809999999998</v>
      </c>
      <c r="G10" s="111">
        <f>'R 2013'!G10+'CR 2013'!H5+'TRT 2013'!G10</f>
        <v>15727.34</v>
      </c>
      <c r="H10" s="111">
        <f>'R 2013'!H10+'CR 2013'!I5+'TRT 2013'!H10</f>
        <v>18860.91</v>
      </c>
      <c r="I10" s="111">
        <f>'R 2013'!I10+'CR 2013'!J5+'TRT 2013'!I10</f>
        <v>54310.46</v>
      </c>
      <c r="J10" s="111">
        <f>'R 2013'!J10+'CR 2013'!K5+'TRT 2013'!J10</f>
        <v>17546.68</v>
      </c>
      <c r="K10" s="111">
        <f>'R 2013'!K10+'CR 2013'!L5+'TRT 2013'!K10</f>
        <v>45225.47</v>
      </c>
      <c r="L10" s="111">
        <f>'R 2013'!L10+'CR 2013'!M5+'TRT 2013'!L10</f>
        <v>36165.990000000005</v>
      </c>
      <c r="M10" s="111">
        <f>'R 2013'!M10+'CR 2013'!N5+'TRT 2013'!M10</f>
        <v>13778.61</v>
      </c>
      <c r="N10" s="81">
        <f t="shared" si="0"/>
        <v>292194.19</v>
      </c>
      <c r="O10" s="19">
        <f>SUM('TOTAL 2012'!B10:M10)</f>
        <v>258824.71000000002</v>
      </c>
      <c r="P10" s="84">
        <f t="shared" si="1"/>
        <v>0.12892694828094275</v>
      </c>
      <c r="Q10" s="22">
        <f t="shared" si="2"/>
        <v>3.1204836748977369E-3</v>
      </c>
    </row>
    <row r="11" spans="1:17">
      <c r="A11" s="151" t="s">
        <v>51</v>
      </c>
      <c r="B11" s="111">
        <f>'R 2013'!B11+'TRT 2013'!B11</f>
        <v>13757.08</v>
      </c>
      <c r="C11" s="111">
        <f>'R 2013'!C11+'TRT 2013'!C11</f>
        <v>13889.490000000002</v>
      </c>
      <c r="D11" s="111">
        <f>'R 2013'!D11+'TRT 2013'!D11</f>
        <v>10960.51</v>
      </c>
      <c r="E11" s="111">
        <f>'R 2013'!E11+'TRT 2013'!E11</f>
        <v>10684.78</v>
      </c>
      <c r="F11" s="111">
        <f>'R 2013'!F11+'TRT 2013'!F11</f>
        <v>28177.57</v>
      </c>
      <c r="G11" s="111">
        <f>'R 2013'!G11+'TRT 2013'!G11</f>
        <v>31314.57</v>
      </c>
      <c r="H11" s="111">
        <f>'R 2013'!H11+'TRT 2013'!H11</f>
        <v>37267.620000000003</v>
      </c>
      <c r="I11" s="111">
        <f>'R 2013'!I11+'TRT 2013'!I11</f>
        <v>41791.699999999997</v>
      </c>
      <c r="J11" s="111">
        <f>'R 2013'!J11+'TRT 2013'!J11</f>
        <v>54512.54</v>
      </c>
      <c r="K11" s="111">
        <f>'R 2013'!K11+'TRT 2013'!K11</f>
        <v>51567.91</v>
      </c>
      <c r="L11" s="111">
        <f>'R 2013'!L11+'TRT 2013'!L11</f>
        <v>40036.28</v>
      </c>
      <c r="M11" s="111">
        <f>'R 2013'!M11+'TRT 2013'!M11</f>
        <v>28740.32</v>
      </c>
      <c r="N11" s="60">
        <f t="shared" si="0"/>
        <v>362700.37000000005</v>
      </c>
      <c r="O11" s="19">
        <f>SUM('TOTAL 2012'!B11:M11)</f>
        <v>348868.93000000005</v>
      </c>
      <c r="P11" s="84">
        <f t="shared" si="1"/>
        <v>3.9646522835954379E-2</v>
      </c>
      <c r="Q11" s="22">
        <f t="shared" si="2"/>
        <v>3.8734534162515998E-3</v>
      </c>
    </row>
    <row r="12" spans="1:17">
      <c r="A12" s="151" t="s">
        <v>24</v>
      </c>
      <c r="B12" s="111">
        <f>'R 2013'!B12+'TRT 2013'!B12</f>
        <v>46650.97</v>
      </c>
      <c r="C12" s="111">
        <f>'R 2013'!C12+'TRT 2013'!C12</f>
        <v>49272.46</v>
      </c>
      <c r="D12" s="111">
        <f>'R 2013'!D12+'TRT 2013'!D12</f>
        <v>11324.099999999999</v>
      </c>
      <c r="E12" s="111">
        <f>'R 2013'!E12+'TRT 2013'!E12</f>
        <v>16585.669999999998</v>
      </c>
      <c r="F12" s="111">
        <f>'R 2013'!F12+'TRT 2013'!F12</f>
        <v>63558.240000000005</v>
      </c>
      <c r="G12" s="111">
        <f>'R 2013'!G12+'TRT 2013'!G12</f>
        <v>86533.93</v>
      </c>
      <c r="H12" s="111">
        <f>'R 2013'!H12+'TRT 2013'!H12</f>
        <v>189165.53</v>
      </c>
      <c r="I12" s="111">
        <f>'R 2013'!I12+'TRT 2013'!I12</f>
        <v>271312.21000000002</v>
      </c>
      <c r="J12" s="111">
        <f>'R 2013'!J12+'TRT 2013'!J12</f>
        <v>190164.48000000001</v>
      </c>
      <c r="K12" s="111">
        <f>'R 2013'!K12+'TRT 2013'!K12</f>
        <v>112718.11</v>
      </c>
      <c r="L12" s="111">
        <f>'R 2013'!L12+'TRT 2013'!L12</f>
        <v>392100.41</v>
      </c>
      <c r="M12" s="111">
        <f>'R 2013'!M12+'TRT 2013'!M12</f>
        <v>108255.07</v>
      </c>
      <c r="N12" s="81">
        <f t="shared" si="0"/>
        <v>1537641.1800000002</v>
      </c>
      <c r="O12" s="19">
        <f>SUM('TOTAL 2012'!B12:M12)</f>
        <v>1343182.51</v>
      </c>
      <c r="P12" s="84">
        <f t="shared" si="1"/>
        <v>0.14477456976416425</v>
      </c>
      <c r="Q12" s="22">
        <f t="shared" si="2"/>
        <v>1.6421216999696307E-2</v>
      </c>
    </row>
    <row r="13" spans="1:17">
      <c r="A13" s="151" t="s">
        <v>25</v>
      </c>
      <c r="B13" s="111">
        <f>'R 2013'!B13+'CR 2013'!C6+'TRT 2013'!B13</f>
        <v>87113.94</v>
      </c>
      <c r="C13" s="111">
        <f>'R 2013'!C13+'CR 2013'!D6+'TRT 2013'!C13</f>
        <v>88596.43</v>
      </c>
      <c r="D13" s="111">
        <f>'R 2013'!D13+'CR 2013'!E6+'TRT 2013'!D13</f>
        <v>39917.11</v>
      </c>
      <c r="E13" s="111">
        <f>'R 2013'!E13+'CR 2013'!F6+'TRT 2013'!E13</f>
        <v>62127.049999999996</v>
      </c>
      <c r="F13" s="111">
        <f>'R 2013'!F13+'CR 2013'!G6+'TRT 2013'!F13</f>
        <v>297588.41000000003</v>
      </c>
      <c r="G13" s="111">
        <f>'R 2013'!G13+'CR 2013'!H6+'TRT 2013'!G13</f>
        <v>294964.43</v>
      </c>
      <c r="H13" s="111">
        <f>'R 2013'!H13+'CR 2013'!I6+'TRT 2013'!H13</f>
        <v>385834.16</v>
      </c>
      <c r="I13" s="111">
        <f>'R 2013'!I13+'CR 2013'!J6+'TRT 2013'!I13</f>
        <v>494530.05</v>
      </c>
      <c r="J13" s="111">
        <f>'R 2013'!J13+'CR 2013'!K6+'TRT 2013'!J13</f>
        <v>347408.76</v>
      </c>
      <c r="K13" s="111">
        <f>'R 2013'!K13+'CR 2013'!L6+'TRT 2013'!K13</f>
        <v>344125.60000000003</v>
      </c>
      <c r="L13" s="111">
        <f>'R 2013'!L13+'CR 2013'!M6+'TRT 2013'!L13</f>
        <v>500278.14</v>
      </c>
      <c r="M13" s="111">
        <f>'R 2013'!M13+'CR 2013'!N6+'TRT 2013'!M13</f>
        <v>315319.15000000002</v>
      </c>
      <c r="N13" s="81">
        <f t="shared" si="0"/>
        <v>3257803.23</v>
      </c>
      <c r="O13" s="19">
        <f>SUM('TOTAL 2012'!B13:M13)</f>
        <v>2312728.06</v>
      </c>
      <c r="P13" s="84">
        <f t="shared" si="1"/>
        <v>0.40864085421266516</v>
      </c>
      <c r="Q13" s="22">
        <f t="shared" si="2"/>
        <v>3.4791663021239802E-2</v>
      </c>
    </row>
    <row r="14" spans="1:17">
      <c r="A14" s="151" t="s">
        <v>26</v>
      </c>
      <c r="B14" s="111">
        <f>'R 2013'!B14+'TRT 2013'!B14</f>
        <v>76110.399999999994</v>
      </c>
      <c r="C14" s="111">
        <f>'R 2013'!C14+'TRT 2013'!C14</f>
        <v>123711.16</v>
      </c>
      <c r="D14" s="111">
        <f>'R 2013'!D14+'TRT 2013'!D14</f>
        <v>83150.070000000007</v>
      </c>
      <c r="E14" s="111">
        <f>'R 2013'!E14+'TRT 2013'!E14</f>
        <v>100250.29000000001</v>
      </c>
      <c r="F14" s="111">
        <f>'R 2013'!F14+'TRT 2013'!F14</f>
        <v>145484.74</v>
      </c>
      <c r="G14" s="111">
        <f>'R 2013'!G14+'TRT 2013'!G14</f>
        <v>102709.77</v>
      </c>
      <c r="H14" s="111">
        <f>'R 2013'!H14+'TRT 2013'!H14</f>
        <v>96366.79</v>
      </c>
      <c r="I14" s="111">
        <f>'R 2013'!I14+'TRT 2013'!I14</f>
        <v>163849.91</v>
      </c>
      <c r="J14" s="111">
        <f>'R 2013'!J14+'TRT 2013'!J14</f>
        <v>170636.76</v>
      </c>
      <c r="K14" s="111">
        <f>'R 2013'!K14+'TRT 2013'!K14</f>
        <v>153268.38</v>
      </c>
      <c r="L14" s="111">
        <f>'R 2013'!L14+'TRT 2013'!L14</f>
        <v>183253.04</v>
      </c>
      <c r="M14" s="111">
        <f>'R 2013'!M14+'TRT 2013'!M14</f>
        <v>78650.709999999992</v>
      </c>
      <c r="N14" s="81">
        <f t="shared" si="0"/>
        <v>1477442.02</v>
      </c>
      <c r="O14" s="19">
        <f>SUM('TOTAL 2012'!B14:M14)</f>
        <v>1429908.73</v>
      </c>
      <c r="P14" s="84">
        <f t="shared" si="1"/>
        <v>3.3242184625308147E-2</v>
      </c>
      <c r="Q14" s="22">
        <f t="shared" si="2"/>
        <v>1.5778320931083317E-2</v>
      </c>
    </row>
    <row r="15" spans="1:17">
      <c r="A15" s="151" t="s">
        <v>27</v>
      </c>
      <c r="B15" s="111">
        <f>'R 2013'!B15+'TRT 2013'!B15</f>
        <v>7581.5199999999995</v>
      </c>
      <c r="C15" s="111">
        <f>'R 2013'!C15+'TRT 2013'!C15</f>
        <v>20972.29</v>
      </c>
      <c r="D15" s="111">
        <f>'R 2013'!D15+'TRT 2013'!D15</f>
        <v>7839.63</v>
      </c>
      <c r="E15" s="111">
        <f>'R 2013'!E15+'TRT 2013'!E15</f>
        <v>5904.3899999999994</v>
      </c>
      <c r="F15" s="111">
        <f>'R 2013'!F15+'TRT 2013'!F15</f>
        <v>20822.919999999998</v>
      </c>
      <c r="G15" s="111">
        <f>'R 2013'!G15+'TRT 2013'!G15</f>
        <v>8767.3700000000008</v>
      </c>
      <c r="H15" s="111">
        <f>'R 2013'!H15+'TRT 2013'!H15</f>
        <v>7830.9500000000007</v>
      </c>
      <c r="I15" s="111">
        <f>'R 2013'!I15+'TRT 2013'!I15</f>
        <v>30069.09</v>
      </c>
      <c r="J15" s="111">
        <f>'R 2013'!J15+'TRT 2013'!J15</f>
        <v>14592.330000000002</v>
      </c>
      <c r="K15" s="111">
        <f>'R 2013'!K15+'TRT 2013'!K15</f>
        <v>7659.33</v>
      </c>
      <c r="L15" s="111">
        <f>'R 2013'!L15+'TRT 2013'!L15</f>
        <v>27670.97</v>
      </c>
      <c r="M15" s="111">
        <f>'R 2013'!M15+'TRT 2013'!M15</f>
        <v>8619.4399999999987</v>
      </c>
      <c r="N15" s="81">
        <f t="shared" si="0"/>
        <v>168330.22999999998</v>
      </c>
      <c r="O15" s="19">
        <f>SUM('TOTAL 2012'!B15:M15)</f>
        <v>170855.50999999998</v>
      </c>
      <c r="P15" s="84">
        <f t="shared" si="1"/>
        <v>-1.4780208141955686E-2</v>
      </c>
      <c r="Q15" s="22">
        <f t="shared" si="2"/>
        <v>1.797680284836537E-3</v>
      </c>
    </row>
    <row r="16" spans="1:17">
      <c r="A16" s="151" t="s">
        <v>28</v>
      </c>
      <c r="B16" s="111">
        <f>'R 2013'!B16+'TRT 2013'!B16</f>
        <v>75486.2</v>
      </c>
      <c r="C16" s="111">
        <f>'R 2013'!C16+'TRT 2013'!C16</f>
        <v>100913.26</v>
      </c>
      <c r="D16" s="111">
        <f>'R 2013'!D16+'TRT 2013'!D16</f>
        <v>58125.770000000004</v>
      </c>
      <c r="E16" s="111">
        <f>'R 2013'!E16+'TRT 2013'!E16</f>
        <v>29317.11</v>
      </c>
      <c r="F16" s="111">
        <f>'R 2013'!F16+'TRT 2013'!F16</f>
        <v>104732.95</v>
      </c>
      <c r="G16" s="111">
        <f>'R 2013'!G16+'TRT 2013'!G16</f>
        <v>146447.26999999999</v>
      </c>
      <c r="H16" s="111">
        <f>'R 2013'!H16+'TRT 2013'!H16</f>
        <v>150905.43</v>
      </c>
      <c r="I16" s="111">
        <f>'R 2013'!I16+'TRT 2013'!I16</f>
        <v>243907.36</v>
      </c>
      <c r="J16" s="111">
        <f>'R 2013'!J16+'TRT 2013'!J16</f>
        <v>150446.32</v>
      </c>
      <c r="K16" s="111">
        <f>'R 2013'!K16+'TRT 2013'!K16</f>
        <v>192170.59000000003</v>
      </c>
      <c r="L16" s="111">
        <f>'R 2013'!L16+'TRT 2013'!L16</f>
        <v>256283.05</v>
      </c>
      <c r="M16" s="111">
        <f>'R 2013'!M16+'TRT 2013'!M16</f>
        <v>119708.12</v>
      </c>
      <c r="N16" s="81">
        <f t="shared" si="0"/>
        <v>1628443.4300000002</v>
      </c>
      <c r="O16" s="19">
        <f>SUM('TOTAL 2012'!B16:M16)</f>
        <v>1490018.28</v>
      </c>
      <c r="P16" s="84">
        <f t="shared" si="1"/>
        <v>9.2901645475114591E-2</v>
      </c>
      <c r="Q16" s="22">
        <f t="shared" si="2"/>
        <v>1.7390938330462614E-2</v>
      </c>
    </row>
    <row r="17" spans="1:21">
      <c r="A17" s="151" t="s">
        <v>52</v>
      </c>
      <c r="B17" s="111">
        <f>'TRT 2013'!B17</f>
        <v>7490.94</v>
      </c>
      <c r="C17" s="111">
        <f>'TRT 2013'!C17</f>
        <v>9525.5400000000009</v>
      </c>
      <c r="D17" s="111">
        <f>'TRT 2013'!D17</f>
        <v>4900.03</v>
      </c>
      <c r="E17" s="111">
        <f>'TRT 2013'!E17</f>
        <v>3596.28</v>
      </c>
      <c r="F17" s="111">
        <f>'TRT 2013'!F17</f>
        <v>12471.16</v>
      </c>
      <c r="G17" s="111">
        <f>'TRT 2013'!G17</f>
        <v>9102.65</v>
      </c>
      <c r="H17" s="111">
        <f>'TRT 2013'!H17</f>
        <v>11239.9</v>
      </c>
      <c r="I17" s="111">
        <f>'TRT 2013'!I17</f>
        <v>17730.45</v>
      </c>
      <c r="J17" s="111">
        <f>'TRT 2013'!J17</f>
        <v>9731.49</v>
      </c>
      <c r="K17" s="111">
        <f>'TRT 2013'!K17</f>
        <v>8535.31</v>
      </c>
      <c r="L17" s="111">
        <f>'TRT 2013'!L17</f>
        <v>17059.28</v>
      </c>
      <c r="M17" s="111">
        <f>'TRT 2013'!M17</f>
        <v>7650.49</v>
      </c>
      <c r="N17" s="81">
        <f t="shared" si="0"/>
        <v>119033.52</v>
      </c>
      <c r="O17" s="19">
        <f>SUM('TOTAL 2012'!B17:M17)</f>
        <v>109695.51000000001</v>
      </c>
      <c r="P17" s="84">
        <f t="shared" si="1"/>
        <v>8.5126638273526289E-2</v>
      </c>
      <c r="Q17" s="22">
        <f t="shared" si="2"/>
        <v>1.2712167751371553E-3</v>
      </c>
    </row>
    <row r="18" spans="1:21">
      <c r="A18" s="151" t="s">
        <v>29</v>
      </c>
      <c r="B18" s="111">
        <f>'R 2013'!B17+'CR 2013'!C7+'TRT 2013'!B18</f>
        <v>1923.67</v>
      </c>
      <c r="C18" s="111">
        <f>'R 2013'!C17+'CR 2013'!D7+'TRT 2013'!C18</f>
        <v>6003.28</v>
      </c>
      <c r="D18" s="111">
        <f>'R 2013'!D17+'CR 2013'!E7+'TRT 2013'!D18</f>
        <v>3269.29</v>
      </c>
      <c r="E18" s="111">
        <f>'R 2013'!E17+'CR 2013'!F7+'TRT 2013'!E18</f>
        <v>2128.2000000000003</v>
      </c>
      <c r="F18" s="111">
        <f>'R 2013'!F17+'CR 2013'!G7+'TRT 2013'!F18</f>
        <v>6326.0099999999993</v>
      </c>
      <c r="G18" s="111">
        <f>'R 2013'!G17+'CR 2013'!H7+'TRT 2013'!G18</f>
        <v>2642.53</v>
      </c>
      <c r="H18" s="111">
        <f>'R 2013'!H17+'CR 2013'!I7+'TRT 2013'!H18</f>
        <v>3540.13</v>
      </c>
      <c r="I18" s="111">
        <f>'R 2013'!I17+'CR 2013'!J7+'TRT 2013'!I18</f>
        <v>9803.2800000000007</v>
      </c>
      <c r="J18" s="111">
        <f>'R 2013'!J17+'CR 2013'!K7+'TRT 2013'!J18</f>
        <v>4535</v>
      </c>
      <c r="K18" s="111">
        <f>'R 2013'!K17+'CR 2013'!L7+'TRT 2013'!K18</f>
        <v>4100.91</v>
      </c>
      <c r="L18" s="111">
        <f>'R 2013'!L17+'CR 2013'!M7+'TRT 2013'!L18</f>
        <v>7635.6600000000008</v>
      </c>
      <c r="M18" s="111">
        <f>'R 2013'!M17+'CR 2013'!N7+'TRT 2013'!M18</f>
        <v>3004.61</v>
      </c>
      <c r="N18" s="81">
        <f t="shared" si="0"/>
        <v>54912.570000000007</v>
      </c>
      <c r="O18" s="19">
        <f>SUM('TOTAL 2012'!B18:M18)</f>
        <v>56021.729999999996</v>
      </c>
      <c r="P18" s="84">
        <f t="shared" si="1"/>
        <v>-1.9798745950901364E-2</v>
      </c>
      <c r="Q18" s="22">
        <f t="shared" si="2"/>
        <v>5.8643800628506416E-4</v>
      </c>
    </row>
    <row r="19" spans="1:21">
      <c r="A19" s="151" t="s">
        <v>53</v>
      </c>
      <c r="B19" s="111">
        <f>'TRT 2013'!B19</f>
        <v>606.6</v>
      </c>
      <c r="C19" s="111">
        <f>'TRT 2013'!C19</f>
        <v>1577.13</v>
      </c>
      <c r="D19" s="111">
        <f>'TRT 2013'!D19</f>
        <v>148.75</v>
      </c>
      <c r="E19" s="111">
        <f>'TRT 2013'!E19</f>
        <v>403.3</v>
      </c>
      <c r="F19" s="111">
        <f>'TRT 2013'!F19</f>
        <v>330.24</v>
      </c>
      <c r="G19" s="111">
        <f>'TRT 2013'!G19</f>
        <v>338.07</v>
      </c>
      <c r="H19" s="111">
        <f>'TRT 2013'!H19</f>
        <v>1454.47</v>
      </c>
      <c r="I19" s="111">
        <f>'TRT 2013'!I19</f>
        <v>5764.66</v>
      </c>
      <c r="J19" s="111">
        <f>'TRT 2013'!J19</f>
        <v>123.47</v>
      </c>
      <c r="K19" s="111">
        <f>'TRT 2013'!K19</f>
        <v>3181.22</v>
      </c>
      <c r="L19" s="111">
        <f>'TRT 2013'!L19</f>
        <v>8761.4599999999991</v>
      </c>
      <c r="M19" s="111">
        <f>'TRT 2013'!M19</f>
        <v>222.55</v>
      </c>
      <c r="N19" s="81">
        <f t="shared" si="0"/>
        <v>22911.919999999998</v>
      </c>
      <c r="O19" s="19">
        <f>SUM('TOTAL 2012'!B19:M19)</f>
        <v>18057.010000000006</v>
      </c>
      <c r="P19" s="84">
        <f t="shared" si="1"/>
        <v>0.26886566491351505</v>
      </c>
      <c r="Q19" s="22">
        <f t="shared" si="2"/>
        <v>2.4468752209126041E-4</v>
      </c>
    </row>
    <row r="20" spans="1:21">
      <c r="A20" s="151" t="s">
        <v>30</v>
      </c>
      <c r="B20" s="111">
        <f>'R 2013'!B18+'TRT 2013'!B20</f>
        <v>2271.0099999999998</v>
      </c>
      <c r="C20" s="111">
        <f>'R 2013'!C18+'TRT 2013'!C20</f>
        <v>8030.81</v>
      </c>
      <c r="D20" s="111">
        <f>'R 2013'!D18+'TRT 2013'!D20</f>
        <v>972.22</v>
      </c>
      <c r="E20" s="111">
        <f>'R 2013'!E18+'TRT 2013'!E20</f>
        <v>5106.3599999999997</v>
      </c>
      <c r="F20" s="111">
        <f>'R 2013'!F18+'TRT 2013'!F20</f>
        <v>8514.11</v>
      </c>
      <c r="G20" s="111">
        <f>'R 2013'!G18+'TRT 2013'!G20</f>
        <v>2010.06</v>
      </c>
      <c r="H20" s="111">
        <f>'R 2013'!H18+'TRT 2013'!H20</f>
        <v>8064.66</v>
      </c>
      <c r="I20" s="111">
        <f>'R 2013'!I18+'TRT 2013'!I20</f>
        <v>40062.490000000005</v>
      </c>
      <c r="J20" s="111">
        <f>'R 2013'!J18+'TRT 2013'!J20</f>
        <v>37749.57</v>
      </c>
      <c r="K20" s="111">
        <f>'R 2013'!K18+'TRT 2013'!K20</f>
        <v>21679.48</v>
      </c>
      <c r="L20" s="111">
        <f>'R 2013'!L18+'TRT 2013'!L20</f>
        <v>55828.060000000005</v>
      </c>
      <c r="M20" s="111">
        <f>'R 2013'!M18+'TRT 2013'!M20</f>
        <v>800.56999999999994</v>
      </c>
      <c r="N20" s="81">
        <f t="shared" si="0"/>
        <v>191089.40000000002</v>
      </c>
      <c r="O20" s="19">
        <f>SUM('TOTAL 2012'!B20:M20)</f>
        <v>202449.96</v>
      </c>
      <c r="P20" s="84">
        <f t="shared" si="1"/>
        <v>-5.6115397602449324E-2</v>
      </c>
      <c r="Q20" s="22">
        <f t="shared" si="2"/>
        <v>2.0407365154865116E-3</v>
      </c>
    </row>
    <row r="21" spans="1:21">
      <c r="A21" s="151" t="s">
        <v>31</v>
      </c>
      <c r="B21" s="111">
        <f>'R 2013'!B19+'CR 2013'!C8+'TRT 2013'!B21</f>
        <v>2732866.0900000003</v>
      </c>
      <c r="C21" s="111">
        <f>'R 2013'!C19+'CR 2013'!D8+'TRT 2013'!C21</f>
        <v>3423525.0999999996</v>
      </c>
      <c r="D21" s="111">
        <f>'R 2013'!D19+'CR 2013'!E8+'TRT 2013'!D21</f>
        <v>3816719.87</v>
      </c>
      <c r="E21" s="111">
        <f>'R 2013'!E19+'CR 2013'!F8+'TRT 2013'!E21</f>
        <v>3313583.58</v>
      </c>
      <c r="F21" s="111">
        <f>'R 2013'!F19+'CR 2013'!G8+'TRT 2013'!F21</f>
        <v>4428251.8</v>
      </c>
      <c r="G21" s="111">
        <f>'R 2013'!G19+'CR 2013'!H8+'TRT 2013'!G21</f>
        <v>3235910.2</v>
      </c>
      <c r="H21" s="111">
        <f>'R 2013'!H19+'CR 2013'!I8+'TRT 2013'!H21</f>
        <v>2984782.68</v>
      </c>
      <c r="I21" s="111">
        <f>'R 2013'!I19+'CR 2013'!J8+'TRT 2013'!I21</f>
        <v>3959547.6399999997</v>
      </c>
      <c r="J21" s="111">
        <f>'R 2013'!J19+'CR 2013'!K8+'TRT 2013'!J21</f>
        <v>3735644.92</v>
      </c>
      <c r="K21" s="111">
        <f>'R 2013'!K19+'CR 2013'!L8+'TRT 2013'!K21</f>
        <v>3817009.4100000006</v>
      </c>
      <c r="L21" s="111">
        <f>'R 2013'!L19+'CR 2013'!M8+'TRT 2013'!L21</f>
        <v>3795314.12</v>
      </c>
      <c r="M21" s="111">
        <f>'R 2013'!M19+'CR 2013'!N8+'TRT 2013'!M21</f>
        <v>3247771.22</v>
      </c>
      <c r="N21" s="81">
        <f t="shared" si="0"/>
        <v>42490926.629999995</v>
      </c>
      <c r="O21" s="19">
        <f>SUM('TOTAL 2012'!B21:M21)</f>
        <v>40473273.50999999</v>
      </c>
      <c r="P21" s="84">
        <f t="shared" si="1"/>
        <v>4.9851493220618437E-2</v>
      </c>
      <c r="Q21" s="22">
        <f t="shared" si="2"/>
        <v>0.45378124349492538</v>
      </c>
    </row>
    <row r="22" spans="1:21">
      <c r="A22" s="151" t="s">
        <v>45</v>
      </c>
      <c r="B22" s="111">
        <f>'R 2013'!B20+'TRT 2013'!B22</f>
        <v>16799.559999999998</v>
      </c>
      <c r="C22" s="111">
        <f>'R 2013'!C20+'TRT 2013'!C22</f>
        <v>29616.58</v>
      </c>
      <c r="D22" s="111">
        <f>'R 2013'!D20+'TRT 2013'!D22</f>
        <v>6103.26</v>
      </c>
      <c r="E22" s="111">
        <f>'R 2013'!E20+'TRT 2013'!E22</f>
        <v>15859.44</v>
      </c>
      <c r="F22" s="111">
        <f>'R 2013'!F20+'TRT 2013'!F22</f>
        <v>47946.79</v>
      </c>
      <c r="G22" s="111">
        <f>'R 2013'!G20+'TRT 2013'!G22</f>
        <v>47295.65</v>
      </c>
      <c r="H22" s="111">
        <f>'R 2013'!H20+'TRT 2013'!H22</f>
        <v>69522.45</v>
      </c>
      <c r="I22" s="111">
        <f>'R 2013'!I20+'TRT 2013'!I22</f>
        <v>96324.819999999992</v>
      </c>
      <c r="J22" s="111">
        <f>'R 2013'!J20+'TRT 2013'!J22</f>
        <v>75974.84</v>
      </c>
      <c r="K22" s="111">
        <f>'R 2013'!K20+'TRT 2013'!K22</f>
        <v>76304.639999999999</v>
      </c>
      <c r="L22" s="111">
        <f>'R 2013'!L20+'TRT 2013'!L22</f>
        <v>113931.53</v>
      </c>
      <c r="M22" s="111">
        <f>'R 2013'!M20+'TRT 2013'!M22</f>
        <v>42514.96</v>
      </c>
      <c r="N22" s="81">
        <f t="shared" si="0"/>
        <v>638194.52</v>
      </c>
      <c r="O22" s="19">
        <f>SUM('TOTAL 2012'!B22:M22)</f>
        <v>618948.48</v>
      </c>
      <c r="P22" s="84">
        <f t="shared" si="1"/>
        <v>3.1094736673398238E-2</v>
      </c>
      <c r="Q22" s="22">
        <f t="shared" si="2"/>
        <v>6.8155892527130574E-3</v>
      </c>
    </row>
    <row r="23" spans="1:21">
      <c r="A23" s="151" t="s">
        <v>32</v>
      </c>
      <c r="B23" s="111">
        <f>'R 2013'!B21+'TRT 2013'!B23</f>
        <v>13682.93</v>
      </c>
      <c r="C23" s="111">
        <f>'R 2013'!C21+'TRT 2013'!C23</f>
        <v>26287.059999999998</v>
      </c>
      <c r="D23" s="111">
        <f>'R 2013'!D21+'TRT 2013'!D23</f>
        <v>3852.71</v>
      </c>
      <c r="E23" s="111">
        <f>'R 2013'!E21+'TRT 2013'!E23</f>
        <v>4487.1000000000004</v>
      </c>
      <c r="F23" s="111">
        <f>'R 2013'!F21+'TRT 2013'!F23</f>
        <v>30320.93</v>
      </c>
      <c r="G23" s="111">
        <f>'R 2013'!G21+'TRT 2013'!G23</f>
        <v>6382.01</v>
      </c>
      <c r="H23" s="111">
        <f>'R 2013'!H21+'TRT 2013'!H23</f>
        <v>8657.4</v>
      </c>
      <c r="I23" s="111">
        <f>'R 2013'!I21+'TRT 2013'!I23</f>
        <v>44535.789999999994</v>
      </c>
      <c r="J23" s="111">
        <f>'R 2013'!J21+'TRT 2013'!J23</f>
        <v>9085.36</v>
      </c>
      <c r="K23" s="111">
        <f>'R 2013'!K21+'TRT 2013'!K23</f>
        <v>17279.900000000001</v>
      </c>
      <c r="L23" s="111">
        <f>'R 2013'!L21+'TRT 2013'!L23</f>
        <v>33985</v>
      </c>
      <c r="M23" s="111">
        <f>'R 2013'!M21+'TRT 2013'!M23</f>
        <v>8272.85</v>
      </c>
      <c r="N23" s="81">
        <f t="shared" si="0"/>
        <v>206829.03999999998</v>
      </c>
      <c r="O23" s="19">
        <f>SUM('TOTAL 2012'!B23:M23)</f>
        <v>205820.78</v>
      </c>
      <c r="P23" s="84">
        <f t="shared" si="1"/>
        <v>4.8987279127015171E-3</v>
      </c>
      <c r="Q23" s="22">
        <f t="shared" si="2"/>
        <v>2.2088277758526647E-3</v>
      </c>
    </row>
    <row r="24" spans="1:21">
      <c r="A24" s="151" t="s">
        <v>33</v>
      </c>
      <c r="B24" s="111">
        <f>'R 2013'!B22+'CR 2013'!C9+'TRT 2013'!B24</f>
        <v>33165.5</v>
      </c>
      <c r="C24" s="111">
        <f>'R 2013'!C22+'CR 2013'!D9+'TRT 2013'!C24</f>
        <v>46055.45</v>
      </c>
      <c r="D24" s="111">
        <f>'R 2013'!D22+'CR 2013'!E9+'TRT 2013'!D24</f>
        <v>33398.050000000003</v>
      </c>
      <c r="E24" s="111">
        <f>'R 2013'!E22+'CR 2013'!F9+'TRT 2013'!E24</f>
        <v>31760.629999999997</v>
      </c>
      <c r="F24" s="111">
        <f>'R 2013'!F22+'CR 2013'!G9+'TRT 2013'!F24</f>
        <v>57540.28</v>
      </c>
      <c r="G24" s="111">
        <f>'R 2013'!G22+'CR 2013'!H9+'TRT 2013'!G24</f>
        <v>45720.32</v>
      </c>
      <c r="H24" s="111">
        <f>'R 2013'!H22+'CR 2013'!I9+'TRT 2013'!H24</f>
        <v>60929.96</v>
      </c>
      <c r="I24" s="111">
        <f>'R 2013'!I22+'CR 2013'!J9+'TRT 2013'!I24</f>
        <v>93161.07</v>
      </c>
      <c r="J24" s="111">
        <f>'R 2013'!J22+'CR 2013'!K9+'TRT 2013'!J24</f>
        <v>75785.52</v>
      </c>
      <c r="K24" s="111">
        <f>'R 2013'!K22+'CR 2013'!L9+'TRT 2013'!K24</f>
        <v>64320.93</v>
      </c>
      <c r="L24" s="111">
        <f>'R 2013'!L22+'CR 2013'!M9+'TRT 2013'!L24</f>
        <v>92651.28</v>
      </c>
      <c r="M24" s="111">
        <f>'R 2013'!M22+'CR 2013'!N9+'TRT 2013'!M24</f>
        <v>43163.17</v>
      </c>
      <c r="N24" s="81">
        <f t="shared" si="0"/>
        <v>677652.16000000015</v>
      </c>
      <c r="O24" s="19">
        <f>SUM('TOTAL 2012'!B24:M24)</f>
        <v>640380.03999999992</v>
      </c>
      <c r="P24" s="84">
        <f t="shared" si="1"/>
        <v>5.8203125756387086E-2</v>
      </c>
      <c r="Q24" s="22">
        <f t="shared" si="2"/>
        <v>7.2369765550067558E-3</v>
      </c>
    </row>
    <row r="25" spans="1:21">
      <c r="A25" s="151" t="s">
        <v>34</v>
      </c>
      <c r="B25" s="111">
        <f>'R 2013'!B23+'TRT 2013'!B25</f>
        <v>363393.86</v>
      </c>
      <c r="C25" s="111">
        <f>'R 2013'!C23+'TRT 2013'!C25</f>
        <v>1026115.6699999999</v>
      </c>
      <c r="D25" s="111">
        <f>'R 2013'!D23+'TRT 2013'!D25</f>
        <v>1459944.33</v>
      </c>
      <c r="E25" s="111">
        <f>'R 2013'!E23+'TRT 2013'!E25</f>
        <v>1477418.94</v>
      </c>
      <c r="F25" s="111">
        <f>'R 2013'!F23+'TRT 2013'!F25</f>
        <v>1442507.3399999999</v>
      </c>
      <c r="G25" s="111">
        <f>'R 2013'!G23+'TRT 2013'!G25</f>
        <v>313987.38</v>
      </c>
      <c r="H25" s="111">
        <f>'R 2013'!H23+'TRT 2013'!H25</f>
        <v>213808.21</v>
      </c>
      <c r="I25" s="111">
        <f>'R 2013'!I23+'TRT 2013'!I25</f>
        <v>496318.11</v>
      </c>
      <c r="J25" s="111">
        <f>'R 2013'!J23+'TRT 2013'!J25</f>
        <v>545897.33000000007</v>
      </c>
      <c r="K25" s="111">
        <f>'R 2013'!K23+'TRT 2013'!K25</f>
        <v>480004.22</v>
      </c>
      <c r="L25" s="111">
        <f>'R 2013'!L23+'TRT 2013'!L25</f>
        <v>471396.77</v>
      </c>
      <c r="M25" s="111">
        <f>'R 2013'!M23+'TRT 2013'!M25</f>
        <v>285558.2</v>
      </c>
      <c r="N25" s="81">
        <f t="shared" si="0"/>
        <v>8576350.3599999994</v>
      </c>
      <c r="O25" s="19">
        <f>SUM('TOTAL 2012'!B25:M25)</f>
        <v>7700032.1500000004</v>
      </c>
      <c r="P25" s="84">
        <f t="shared" si="1"/>
        <v>0.11380708455873112</v>
      </c>
      <c r="Q25" s="22">
        <f t="shared" si="2"/>
        <v>9.1591011062140987E-2</v>
      </c>
    </row>
    <row r="26" spans="1:21">
      <c r="A26" s="151" t="s">
        <v>35</v>
      </c>
      <c r="B26" s="111">
        <f>'R 2013'!B24+'TRT 2013'!B26</f>
        <v>50279.119999999995</v>
      </c>
      <c r="C26" s="111">
        <f>'R 2013'!C24+'TRT 2013'!C26</f>
        <v>65213.86</v>
      </c>
      <c r="D26" s="111">
        <f>'R 2013'!D24+'TRT 2013'!D26</f>
        <v>46517.35</v>
      </c>
      <c r="E26" s="111">
        <f>'R 2013'!E24+'TRT 2013'!E26</f>
        <v>40129.619999999995</v>
      </c>
      <c r="F26" s="111">
        <f>'R 2013'!F24+'TRT 2013'!F26</f>
        <v>76237.399999999994</v>
      </c>
      <c r="G26" s="111">
        <f>'R 2013'!G24+'TRT 2013'!G26</f>
        <v>52607.83</v>
      </c>
      <c r="H26" s="111">
        <f>'R 2013'!H24+'TRT 2013'!H26</f>
        <v>50312.31</v>
      </c>
      <c r="I26" s="111">
        <f>'R 2013'!I24+'TRT 2013'!I26</f>
        <v>95051.89</v>
      </c>
      <c r="J26" s="111">
        <f>'R 2013'!J24+'TRT 2013'!J26</f>
        <v>64601.020000000004</v>
      </c>
      <c r="K26" s="111">
        <f>'R 2013'!K24+'TRT 2013'!K26</f>
        <v>67551.989999999991</v>
      </c>
      <c r="L26" s="111">
        <f>'R 2013'!L24+'TRT 2013'!L26</f>
        <v>90241.89</v>
      </c>
      <c r="M26" s="111">
        <f>'R 2013'!M24+'TRT 2013'!M26</f>
        <v>69205.22</v>
      </c>
      <c r="N26" s="81">
        <f t="shared" si="0"/>
        <v>767949.5</v>
      </c>
      <c r="O26" s="19">
        <f>SUM('TOTAL 2012'!B26:M26)</f>
        <v>741928.28999999992</v>
      </c>
      <c r="P26" s="84">
        <f t="shared" si="1"/>
        <v>3.507240571726955E-2</v>
      </c>
      <c r="Q26" s="22">
        <f t="shared" si="2"/>
        <v>8.2013057066462527E-3</v>
      </c>
    </row>
    <row r="27" spans="1:21" s="154" customFormat="1">
      <c r="A27" s="151" t="s">
        <v>36</v>
      </c>
      <c r="B27" s="111">
        <f>'R 2013'!B25+'CR 2013'!C10+'TRT 2013'!B27</f>
        <v>90127.7</v>
      </c>
      <c r="C27" s="111">
        <f>'R 2013'!C25+'CR 2013'!D10+'TRT 2013'!C27</f>
        <v>90104.15</v>
      </c>
      <c r="D27" s="111">
        <f>'R 2013'!D25+'CR 2013'!E10+'TRT 2013'!D27</f>
        <v>87160.540000000008</v>
      </c>
      <c r="E27" s="111">
        <f>'R 2013'!E25+'CR 2013'!F10+'TRT 2013'!E27</f>
        <v>66573.39</v>
      </c>
      <c r="F27" s="111">
        <f>'R 2013'!F25+'CR 2013'!G10+'TRT 2013'!F27</f>
        <v>115079.20999999999</v>
      </c>
      <c r="G27" s="111">
        <f>'R 2013'!G25+'CR 2013'!H10+'TRT 2013'!G27</f>
        <v>87676.239999999991</v>
      </c>
      <c r="H27" s="111">
        <f>'R 2013'!H25+'CR 2013'!I10+'TRT 2013'!H27</f>
        <v>115229.92</v>
      </c>
      <c r="I27" s="111">
        <f>'R 2013'!I25+'CR 2013'!J10+'TRT 2013'!I27</f>
        <v>174885.34</v>
      </c>
      <c r="J27" s="111">
        <f>'R 2013'!J25+'CR 2013'!K10+'TRT 2013'!J27</f>
        <v>113303.36</v>
      </c>
      <c r="K27" s="111">
        <f>'R 2013'!K25+'CR 2013'!L10+'TRT 2013'!K27</f>
        <v>117483.31</v>
      </c>
      <c r="L27" s="111">
        <f>'R 2013'!L25+'CR 2013'!M10+'TRT 2013'!L27</f>
        <v>164290.31</v>
      </c>
      <c r="M27" s="111">
        <f>'R 2013'!M25+'CR 2013'!N10+'TRT 2013'!M27</f>
        <v>109708.07</v>
      </c>
      <c r="N27" s="81">
        <f t="shared" si="0"/>
        <v>1331621.54</v>
      </c>
      <c r="O27" s="19">
        <f>SUM('TOTAL 2012'!B27:M27)</f>
        <v>1320648.9499999997</v>
      </c>
      <c r="P27" s="84">
        <f t="shared" si="1"/>
        <v>8.3084834921500761E-3</v>
      </c>
      <c r="Q27" s="22">
        <f t="shared" si="2"/>
        <v>1.4221033199572462E-2</v>
      </c>
    </row>
    <row r="28" spans="1:21">
      <c r="A28" s="151" t="s">
        <v>37</v>
      </c>
      <c r="B28" s="111">
        <f>'R 2013'!B26+'CR 2013'!C11+'TRT 2013'!B28</f>
        <v>547344.45000000007</v>
      </c>
      <c r="C28" s="111">
        <f>'R 2013'!C26+'CR 2013'!D11+'TRT 2013'!C28</f>
        <v>767909.9</v>
      </c>
      <c r="D28" s="111">
        <f>'R 2013'!D26+'CR 2013'!E11+'TRT 2013'!D28</f>
        <v>616131.26</v>
      </c>
      <c r="E28" s="111">
        <f>'R 2013'!E26+'CR 2013'!F11+'TRT 2013'!E28</f>
        <v>611213.66</v>
      </c>
      <c r="F28" s="111">
        <f>'R 2013'!F26+'CR 2013'!G11+'TRT 2013'!F28</f>
        <v>853834.74</v>
      </c>
      <c r="G28" s="111">
        <f>'R 2013'!G26+'CR 2013'!H11+'TRT 2013'!G28</f>
        <v>606094.89</v>
      </c>
      <c r="H28" s="111">
        <f>'R 2013'!H26+'CR 2013'!I11+'TRT 2013'!H28</f>
        <v>690749.56</v>
      </c>
      <c r="I28" s="111">
        <f>'R 2013'!I26+'CR 2013'!J11+'TRT 2013'!I28</f>
        <v>944261.38</v>
      </c>
      <c r="J28" s="111">
        <f>'R 2013'!J26+'CR 2013'!K11+'TRT 2013'!J28</f>
        <v>798466.96</v>
      </c>
      <c r="K28" s="111">
        <f>'R 2013'!K26+'CR 2013'!L11+'TRT 2013'!K28</f>
        <v>781115.92</v>
      </c>
      <c r="L28" s="111">
        <f>'R 2013'!L26+'CR 2013'!M11+'TRT 2013'!L28</f>
        <v>849892.08000000007</v>
      </c>
      <c r="M28" s="111">
        <f>'R 2013'!M26+'CR 2013'!N11+'TRT 2013'!M28</f>
        <v>680140.05</v>
      </c>
      <c r="N28" s="81">
        <f t="shared" si="0"/>
        <v>8747154.8499999996</v>
      </c>
      <c r="O28" s="19">
        <f>SUM('TOTAL 2012'!B28:M28)</f>
        <v>8156581.1099999994</v>
      </c>
      <c r="P28" s="84">
        <f t="shared" si="1"/>
        <v>7.2404569026593091E-2</v>
      </c>
      <c r="Q28" s="22">
        <f t="shared" si="2"/>
        <v>9.3415115171275515E-2</v>
      </c>
      <c r="U28" s="154"/>
    </row>
    <row r="29" spans="1:21">
      <c r="A29" s="151" t="s">
        <v>38</v>
      </c>
      <c r="B29" s="111">
        <f>'R 2013'!B27+'TRT 2013'!B29</f>
        <v>171902.33</v>
      </c>
      <c r="C29" s="111">
        <f>'R 2013'!C27+'TRT 2013'!C29</f>
        <v>244022.86</v>
      </c>
      <c r="D29" s="111">
        <f>'R 2013'!D27+'TRT 2013'!D29</f>
        <v>247001.22</v>
      </c>
      <c r="E29" s="111">
        <f>'R 2013'!E27+'TRT 2013'!E29</f>
        <v>53963.58</v>
      </c>
      <c r="F29" s="111">
        <f>'R 2013'!F27+'TRT 2013'!F29</f>
        <v>256572.47</v>
      </c>
      <c r="G29" s="111">
        <f>'R 2013'!G27+'TRT 2013'!G29</f>
        <v>59640.979999999996</v>
      </c>
      <c r="H29" s="111">
        <f>'R 2013'!H27+'TRT 2013'!H29</f>
        <v>68448.77</v>
      </c>
      <c r="I29" s="111">
        <f>'R 2013'!I27+'TRT 2013'!I29</f>
        <v>219617.87</v>
      </c>
      <c r="J29" s="111">
        <f>'R 2013'!J27+'TRT 2013'!J29</f>
        <v>99516.51999999999</v>
      </c>
      <c r="K29" s="111">
        <f>'R 2013'!K27+'TRT 2013'!K29</f>
        <v>180143.31</v>
      </c>
      <c r="L29" s="111">
        <f>'R 2013'!L27+'TRT 2013'!L29</f>
        <v>117463.95999999999</v>
      </c>
      <c r="M29" s="111">
        <f>'R 2013'!M27+'TRT 2013'!M29</f>
        <v>67716.180000000008</v>
      </c>
      <c r="N29" s="81">
        <f t="shared" si="0"/>
        <v>1786010.0499999996</v>
      </c>
      <c r="O29" s="19">
        <f>SUM('TOTAL 2012'!B29:M29)</f>
        <v>1539687.77</v>
      </c>
      <c r="P29" s="84">
        <f t="shared" si="1"/>
        <v>0.15998196829218148</v>
      </c>
      <c r="Q29" s="22">
        <f t="shared" si="2"/>
        <v>1.9073668796180682E-2</v>
      </c>
      <c r="U29" s="154"/>
    </row>
    <row r="30" spans="1:21">
      <c r="A30" s="92" t="s">
        <v>39</v>
      </c>
      <c r="B30" s="111">
        <f>'R 2013'!B28+'CR 2013'!C12+'TRT 2013'!B30</f>
        <v>386034.35</v>
      </c>
      <c r="C30" s="111">
        <f>'R 2013'!C28+'CR 2013'!D12+'TRT 2013'!C30</f>
        <v>426900.49</v>
      </c>
      <c r="D30" s="111">
        <f>'R 2013'!D28+'CR 2013'!E12+'TRT 2013'!D30</f>
        <v>319951.58999999997</v>
      </c>
      <c r="E30" s="111">
        <f>'R 2013'!E28+'CR 2013'!F12+'TRT 2013'!E30</f>
        <v>393009.73</v>
      </c>
      <c r="F30" s="111">
        <f>'R 2013'!F28+'CR 2013'!G12+'TRT 2013'!F30</f>
        <v>723534.83</v>
      </c>
      <c r="G30" s="111">
        <f>'R 2013'!G28+'CR 2013'!H12+'TRT 2013'!G30</f>
        <v>610154.32000000007</v>
      </c>
      <c r="H30" s="111">
        <f>'R 2013'!H28+'CR 2013'!I12+'TRT 2013'!H30</f>
        <v>654123.49</v>
      </c>
      <c r="I30" s="111">
        <f>'R 2013'!I28+'CR 2013'!J12+'TRT 2013'!I30</f>
        <v>770959.75</v>
      </c>
      <c r="J30" s="111">
        <f>'R 2013'!J28+'CR 2013'!K12+'TRT 2013'!J30</f>
        <v>596371.97</v>
      </c>
      <c r="K30" s="111">
        <f>'R 2013'!K28+'CR 2013'!L12+'TRT 2013'!K30</f>
        <v>642883.18999999994</v>
      </c>
      <c r="L30" s="111">
        <f>'R 2013'!L28+'CR 2013'!M12+'TRT 2013'!L30</f>
        <v>760056.62</v>
      </c>
      <c r="M30" s="111">
        <f>'R 2013'!M28+'CR 2013'!N12+'TRT 2013'!M30</f>
        <v>568652.33000000007</v>
      </c>
      <c r="N30" s="81">
        <f t="shared" si="0"/>
        <v>6852632.6599999992</v>
      </c>
      <c r="O30" s="19">
        <f>SUM('TOTAL 2012'!B30:M30)</f>
        <v>6237512.0699999994</v>
      </c>
      <c r="P30" s="84">
        <f t="shared" si="1"/>
        <v>9.8616336625381384E-2</v>
      </c>
      <c r="Q30" s="22">
        <f t="shared" si="2"/>
        <v>7.3182592527254051E-2</v>
      </c>
      <c r="U30" s="154"/>
    </row>
    <row r="31" spans="1:21">
      <c r="A31" s="92" t="s">
        <v>40</v>
      </c>
      <c r="B31" s="111">
        <f>'R 2013'!B29+'TRT 2013'!B31</f>
        <v>5877.47</v>
      </c>
      <c r="C31" s="111">
        <f>'R 2013'!C29+'TRT 2013'!C31</f>
        <v>14235.36</v>
      </c>
      <c r="D31" s="111">
        <f>'R 2013'!D29+'TRT 2013'!D31</f>
        <v>1727.27</v>
      </c>
      <c r="E31" s="111">
        <f>'R 2013'!E29+'TRT 2013'!E31</f>
        <v>3708.64</v>
      </c>
      <c r="F31" s="111">
        <f>'R 2013'!F29+'TRT 2013'!F31</f>
        <v>14982.539999999999</v>
      </c>
      <c r="G31" s="111">
        <f>'R 2013'!G29+'TRT 2013'!G31</f>
        <v>20029.059999999998</v>
      </c>
      <c r="H31" s="111">
        <f>'R 2013'!H29+'TRT 2013'!H31</f>
        <v>16962.78</v>
      </c>
      <c r="I31" s="111">
        <f>'R 2013'!I29+'TRT 2013'!I31</f>
        <v>66232.27</v>
      </c>
      <c r="J31" s="111">
        <f>'R 2013'!J29+'TRT 2013'!J31</f>
        <v>25123.52</v>
      </c>
      <c r="K31" s="111">
        <f>'R 2013'!K29+'TRT 2013'!K31</f>
        <v>25048.36</v>
      </c>
      <c r="L31" s="111">
        <f>'R 2013'!L29+'TRT 2013'!L31</f>
        <v>79989.97</v>
      </c>
      <c r="M31" s="111">
        <f>'R 2013'!M29+'TRT 2013'!M31</f>
        <v>10120.349999999999</v>
      </c>
      <c r="N31" s="81">
        <f t="shared" si="0"/>
        <v>284037.58999999997</v>
      </c>
      <c r="O31" s="19">
        <f>SUM('TOTAL 2012'!B31:M31)</f>
        <v>286288.25</v>
      </c>
      <c r="P31" s="84">
        <f t="shared" si="1"/>
        <v>-7.861517194645673E-3</v>
      </c>
      <c r="Q31" s="22">
        <f t="shared" si="2"/>
        <v>3.0333753818044657E-3</v>
      </c>
    </row>
    <row r="32" spans="1:21" ht="13" thickBot="1">
      <c r="A32" s="93" t="s">
        <v>41</v>
      </c>
      <c r="B32" s="220">
        <f>'R 2013'!B30+'CR 2013'!C13+'TRT 2013'!B32</f>
        <v>263370.05000000005</v>
      </c>
      <c r="C32" s="220">
        <f>'R 2013'!C30+'CR 2013'!D13+'TRT 2013'!C32</f>
        <v>366360.42000000004</v>
      </c>
      <c r="D32" s="220">
        <f>'R 2013'!D30+'CR 2013'!E13+'TRT 2013'!D32</f>
        <v>276216.57999999996</v>
      </c>
      <c r="E32" s="220">
        <f>'R 2013'!E30+'CR 2013'!F13+'TRT 2013'!E32</f>
        <v>284739.68</v>
      </c>
      <c r="F32" s="220">
        <f>'R 2013'!F30+'CR 2013'!G13+'TRT 2013'!F32</f>
        <v>469049.28</v>
      </c>
      <c r="G32" s="220">
        <f>'R 2013'!G30+'CR 2013'!H13+'TRT 2013'!G32</f>
        <v>295608.68</v>
      </c>
      <c r="H32" s="220">
        <f>'R 2013'!H30+'CR 2013'!I13+'TRT 2013'!H32</f>
        <v>304838.66000000003</v>
      </c>
      <c r="I32" s="220">
        <f>'R 2013'!I30+'CR 2013'!J13+'TRT 2013'!I32</f>
        <v>453138.88000000006</v>
      </c>
      <c r="J32" s="220">
        <f>'R 2013'!J30+'CR 2013'!K13+'TRT 2013'!J32</f>
        <v>362821.12</v>
      </c>
      <c r="K32" s="220">
        <f>'R 2013'!K30+'CR 2013'!L13+'TRT 2013'!K32</f>
        <v>325251.59000000003</v>
      </c>
      <c r="L32" s="220">
        <f>'R 2013'!L30+'CR 2013'!M13+'TRT 2013'!L32</f>
        <v>408803.24</v>
      </c>
      <c r="M32" s="220">
        <f>'R 2013'!M30+'CR 2013'!N13+'TRT 2013'!M32</f>
        <v>290617.28000000003</v>
      </c>
      <c r="N32" s="82">
        <f t="shared" si="0"/>
        <v>4100815.46</v>
      </c>
      <c r="O32" s="19">
        <f>SUM('TOTAL 2012'!B32:M32)</f>
        <v>3933266.1599999997</v>
      </c>
      <c r="P32" s="226">
        <f t="shared" si="1"/>
        <v>4.2598007148339168E-2</v>
      </c>
      <c r="Q32" s="21">
        <f t="shared" si="2"/>
        <v>4.379460007982449E-2</v>
      </c>
    </row>
    <row r="33" spans="1:21" ht="14" thickTop="1" thickBot="1">
      <c r="A33" s="162" t="s">
        <v>54</v>
      </c>
      <c r="B33" s="163">
        <f t="shared" ref="B33:O33" si="3">SUM(B4:B32)</f>
        <v>5514554.8999999994</v>
      </c>
      <c r="C33" s="164">
        <f t="shared" si="3"/>
        <v>7689242.290000001</v>
      </c>
      <c r="D33" s="163">
        <f t="shared" si="3"/>
        <v>7688657.0399999982</v>
      </c>
      <c r="E33" s="163">
        <f t="shared" si="3"/>
        <v>7004203.8899999997</v>
      </c>
      <c r="F33" s="163">
        <f t="shared" si="3"/>
        <v>10018635.469999999</v>
      </c>
      <c r="G33" s="163">
        <f t="shared" si="3"/>
        <v>6654687.5000000009</v>
      </c>
      <c r="H33" s="165">
        <f t="shared" si="3"/>
        <v>6826959.9799999995</v>
      </c>
      <c r="I33" s="163">
        <f t="shared" si="3"/>
        <v>9649486.9600000009</v>
      </c>
      <c r="J33" s="163">
        <f t="shared" si="3"/>
        <v>8237224.379999999</v>
      </c>
      <c r="K33" s="163">
        <f t="shared" si="3"/>
        <v>8295133.4099999992</v>
      </c>
      <c r="L33" s="163">
        <f t="shared" si="3"/>
        <v>9335229.7400000002</v>
      </c>
      <c r="M33" s="166">
        <f t="shared" si="3"/>
        <v>6723452.3590000002</v>
      </c>
      <c r="N33" s="167">
        <f t="shared" si="3"/>
        <v>93637467.918999985</v>
      </c>
      <c r="O33" s="168">
        <f t="shared" si="3"/>
        <v>87329409.10999997</v>
      </c>
      <c r="P33" s="169">
        <f t="shared" si="1"/>
        <v>7.2232926722936908E-2</v>
      </c>
      <c r="Q33" s="170">
        <f>SUM(Q4:Q32)</f>
        <v>1</v>
      </c>
      <c r="R33" s="121"/>
      <c r="U33" s="219"/>
    </row>
    <row r="34" spans="1:21">
      <c r="B34" s="28">
        <f>B33/'TOTAL 2012'!B33-1</f>
        <v>5.764468439076742E-2</v>
      </c>
      <c r="C34" s="28">
        <f>C33/'TOTAL 2012'!C33-1</f>
        <v>4.4472082712823324E-2</v>
      </c>
      <c r="D34" s="28">
        <f>D33/'TOTAL 2012'!D33-1</f>
        <v>0.16165180360885523</v>
      </c>
      <c r="E34" s="28">
        <f>E33/'TOTAL 2012'!E33-1</f>
        <v>2.4919488069550022E-2</v>
      </c>
      <c r="F34" s="28">
        <f>F33/'TOTAL 2012'!F33-1</f>
        <v>4.2843710125669787E-2</v>
      </c>
      <c r="G34" s="28">
        <f>G33/'TOTAL 2012'!G33-1</f>
        <v>5.0967804947097184E-2</v>
      </c>
      <c r="H34" s="28">
        <f>H33/'TOTAL 2012'!H33-1</f>
        <v>9.2503271099909856E-2</v>
      </c>
      <c r="I34" s="28">
        <f>I33/'TOTAL 2012'!I33-1</f>
        <v>8.5306201451509356E-3</v>
      </c>
      <c r="J34" s="28">
        <f>J33/'TOTAL 2012'!J33-1</f>
        <v>0.24263651641421546</v>
      </c>
      <c r="K34" s="28">
        <f>K33/'TOTAL 2012'!K33-1</f>
        <v>1.4032500044084184E-2</v>
      </c>
      <c r="L34" s="28">
        <f>L33/'TOTAL 2012'!L33-1</f>
        <v>9.8778312526544898E-2</v>
      </c>
      <c r="M34" s="28">
        <f>M33/'TOTAL 2012'!M33-1</f>
        <v>7.7480483739040151E-2</v>
      </c>
      <c r="N34" s="28"/>
    </row>
    <row r="36" spans="1:21">
      <c r="I36" s="116"/>
    </row>
    <row r="37" spans="1:21">
      <c r="I37" s="116"/>
      <c r="J37" s="121"/>
      <c r="U37" s="227"/>
    </row>
    <row r="38" spans="1:21">
      <c r="I38" s="116"/>
      <c r="J38" s="121"/>
    </row>
    <row r="39" spans="1:21">
      <c r="B39" s="1" t="s">
        <v>134</v>
      </c>
      <c r="C39" s="1" t="s">
        <v>135</v>
      </c>
      <c r="D39" s="1" t="s">
        <v>141</v>
      </c>
      <c r="E39" s="1" t="s">
        <v>142</v>
      </c>
      <c r="F39" s="1" t="s">
        <v>143</v>
      </c>
      <c r="G39" s="1" t="s">
        <v>144</v>
      </c>
      <c r="H39" s="1" t="s">
        <v>145</v>
      </c>
      <c r="I39" s="1" t="s">
        <v>146</v>
      </c>
      <c r="J39" s="1" t="s">
        <v>130</v>
      </c>
      <c r="K39" s="1" t="s">
        <v>131</v>
      </c>
      <c r="L39" s="1" t="s">
        <v>132</v>
      </c>
      <c r="M39" s="1" t="s">
        <v>133</v>
      </c>
    </row>
    <row r="40" spans="1:21">
      <c r="I40" s="116"/>
    </row>
    <row r="41" spans="1:21">
      <c r="I41" s="116"/>
    </row>
    <row r="84" spans="16:16" ht="13" thickBot="1">
      <c r="P84" s="169"/>
    </row>
  </sheetData>
  <mergeCells count="1">
    <mergeCell ref="A1:Q1"/>
  </mergeCells>
  <printOptions horizontalCentered="1"/>
  <pageMargins left="0" right="0" top="0.75" bottom="0.5" header="0.25" footer="0.25"/>
  <pageSetup scale="89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 enableFormatConditionsCalculation="0">
    <tabColor rgb="FF00B050"/>
    <pageSetUpPr fitToPage="1"/>
  </sheetPr>
  <dimension ref="A1:R124"/>
  <sheetViews>
    <sheetView zoomScale="125" zoomScaleNormal="125" zoomScalePageLayoutView="125" workbookViewId="0">
      <pane ySplit="3" topLeftCell="A4" activePane="bottomLeft" state="frozen"/>
      <selection pane="bottomLeft" activeCell="P5" sqref="P5"/>
    </sheetView>
  </sheetViews>
  <sheetFormatPr baseColWidth="10" defaultColWidth="10.6640625" defaultRowHeight="12" x14ac:dyDescent="0"/>
  <cols>
    <col min="1" max="1" width="17.6640625" bestFit="1" customWidth="1"/>
    <col min="2" max="12" width="9" customWidth="1"/>
    <col min="13" max="13" width="12.5" style="48" customWidth="1"/>
    <col min="14" max="14" width="10.5" customWidth="1"/>
    <col min="15" max="15" width="9.5" bestFit="1" customWidth="1"/>
    <col min="16" max="16" width="9" style="196" customWidth="1"/>
  </cols>
  <sheetData>
    <row r="1" spans="1:17" ht="17">
      <c r="A1" s="710" t="s">
        <v>352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</row>
    <row r="2" spans="1:17" ht="13" thickBot="1"/>
    <row r="3" spans="1:17" ht="13" thickBot="1">
      <c r="A3" s="454" t="s">
        <v>152</v>
      </c>
      <c r="B3" s="462" t="s">
        <v>2</v>
      </c>
      <c r="C3" s="239" t="s">
        <v>3</v>
      </c>
      <c r="D3" s="239" t="s">
        <v>4</v>
      </c>
      <c r="E3" s="239" t="s">
        <v>5</v>
      </c>
      <c r="F3" s="239" t="s">
        <v>6</v>
      </c>
      <c r="G3" s="239" t="s">
        <v>7</v>
      </c>
      <c r="H3" s="239" t="s">
        <v>8</v>
      </c>
      <c r="I3" s="239" t="s">
        <v>9</v>
      </c>
      <c r="J3" s="239" t="s">
        <v>10</v>
      </c>
      <c r="K3" s="239" t="s">
        <v>11</v>
      </c>
      <c r="L3" s="239" t="s">
        <v>12</v>
      </c>
      <c r="M3" s="240" t="s">
        <v>13</v>
      </c>
      <c r="N3" s="613" t="s">
        <v>349</v>
      </c>
      <c r="O3" s="613" t="s">
        <v>336</v>
      </c>
      <c r="P3" s="596" t="s">
        <v>16</v>
      </c>
      <c r="Q3" s="627" t="s">
        <v>58</v>
      </c>
    </row>
    <row r="4" spans="1:17" s="154" customFormat="1">
      <c r="A4" s="457" t="s">
        <v>153</v>
      </c>
      <c r="B4" s="458">
        <v>15436</v>
      </c>
      <c r="C4" s="458">
        <v>28101.07</v>
      </c>
      <c r="D4" s="458">
        <v>11065.41</v>
      </c>
      <c r="E4" s="458">
        <v>15973.86</v>
      </c>
      <c r="F4" s="458">
        <v>27577.67</v>
      </c>
      <c r="G4" s="458">
        <v>14390.87</v>
      </c>
      <c r="H4" s="458">
        <v>21507.9</v>
      </c>
      <c r="I4" s="458">
        <v>38519.919999999998</v>
      </c>
      <c r="J4" s="458">
        <v>29447.74</v>
      </c>
      <c r="K4" s="458">
        <v>21770.45</v>
      </c>
      <c r="L4" s="458">
        <v>41333.699999999997</v>
      </c>
      <c r="M4" s="458">
        <v>14910.49</v>
      </c>
      <c r="N4" s="458">
        <f t="shared" ref="N4:N35" si="0">SUM(B4:M4)</f>
        <v>280035.08</v>
      </c>
      <c r="O4" s="458">
        <f>SUM('MTRT 2015'!B4:M4)</f>
        <v>239917.36</v>
      </c>
      <c r="P4" s="635">
        <f>N4/O4-1</f>
        <v>0.16721474427694627</v>
      </c>
      <c r="Q4" s="597">
        <f t="shared" ref="Q4:Q35" si="1">N4/$N$103</f>
        <v>2.7810715498840243E-2</v>
      </c>
    </row>
    <row r="5" spans="1:17" s="222" customFormat="1">
      <c r="A5" s="241" t="s">
        <v>154</v>
      </c>
      <c r="B5" s="485">
        <v>944</v>
      </c>
      <c r="C5" s="485">
        <v>400.69</v>
      </c>
      <c r="D5" s="485">
        <v>329.43</v>
      </c>
      <c r="E5" s="485">
        <v>966.39</v>
      </c>
      <c r="F5" s="485">
        <v>350.06</v>
      </c>
      <c r="G5" s="485">
        <v>527.42999999999995</v>
      </c>
      <c r="H5" s="485">
        <v>247.4</v>
      </c>
      <c r="I5" s="485">
        <v>484.89</v>
      </c>
      <c r="J5" s="485">
        <v>311.37</v>
      </c>
      <c r="K5" s="485">
        <v>210.01</v>
      </c>
      <c r="L5" s="485">
        <v>461.16</v>
      </c>
      <c r="M5" s="485">
        <v>169.03</v>
      </c>
      <c r="N5" s="487">
        <f t="shared" si="0"/>
        <v>5401.86</v>
      </c>
      <c r="O5" s="606">
        <f>SUM('MTRT 2015'!B5:M5)</f>
        <v>4822.25</v>
      </c>
      <c r="P5" s="636">
        <f>N5/O5-1</f>
        <v>0.12019492975270873</v>
      </c>
      <c r="Q5" s="566">
        <f t="shared" si="1"/>
        <v>5.3646704414520182E-4</v>
      </c>
    </row>
    <row r="6" spans="1:17" s="154" customFormat="1">
      <c r="A6" s="560" t="s">
        <v>155</v>
      </c>
      <c r="B6" s="460">
        <v>16194</v>
      </c>
      <c r="C6" s="460">
        <v>18320.5</v>
      </c>
      <c r="D6" s="460">
        <v>17635.66</v>
      </c>
      <c r="E6" s="460">
        <v>9854.64</v>
      </c>
      <c r="F6" s="460">
        <v>22046.45</v>
      </c>
      <c r="G6" s="460">
        <v>21581.08</v>
      </c>
      <c r="H6" s="460">
        <v>25157.65</v>
      </c>
      <c r="I6" s="460">
        <v>43520.18</v>
      </c>
      <c r="J6" s="460">
        <v>30722.34</v>
      </c>
      <c r="K6" s="460">
        <v>36149.449999999997</v>
      </c>
      <c r="L6" s="460">
        <v>42969.09</v>
      </c>
      <c r="M6" s="460">
        <v>22452.560000000001</v>
      </c>
      <c r="N6" s="460">
        <f t="shared" si="0"/>
        <v>306603.60000000003</v>
      </c>
      <c r="O6" s="602">
        <f>SUM('MTRT 2015'!B6:M6)</f>
        <v>281754.56</v>
      </c>
      <c r="P6" s="637">
        <f t="shared" ref="P6:P70" si="2">N6/O6-1</f>
        <v>8.819392310811236E-2</v>
      </c>
      <c r="Q6" s="598">
        <f t="shared" si="1"/>
        <v>3.0449276178256719E-2</v>
      </c>
    </row>
    <row r="7" spans="1:17">
      <c r="A7" s="241" t="s">
        <v>156</v>
      </c>
      <c r="B7" s="489">
        <v>1213</v>
      </c>
      <c r="C7" s="489">
        <v>1643</v>
      </c>
      <c r="D7" s="489">
        <v>1134.18</v>
      </c>
      <c r="E7" s="489">
        <v>1096.3</v>
      </c>
      <c r="F7" s="489">
        <v>1945.56</v>
      </c>
      <c r="G7" s="489">
        <v>1816.49</v>
      </c>
      <c r="H7" s="489">
        <v>2299.39</v>
      </c>
      <c r="I7" s="489">
        <v>4154.6400000000003</v>
      </c>
      <c r="J7" s="489">
        <v>2838.87</v>
      </c>
      <c r="K7" s="489">
        <v>3456.49</v>
      </c>
      <c r="L7" s="489">
        <v>4293.59</v>
      </c>
      <c r="M7" s="489">
        <v>1874.13</v>
      </c>
      <c r="N7" s="603">
        <f t="shared" si="0"/>
        <v>27765.64</v>
      </c>
      <c r="O7" s="607">
        <f>SUM('MTRT 2015'!B7:M7)</f>
        <v>25125.43</v>
      </c>
      <c r="P7" s="638">
        <f t="shared" si="2"/>
        <v>0.10508118667023814</v>
      </c>
      <c r="Q7" s="623">
        <f t="shared" si="1"/>
        <v>2.7574485121050498E-3</v>
      </c>
    </row>
    <row r="8" spans="1:17">
      <c r="A8" s="241" t="s">
        <v>157</v>
      </c>
      <c r="B8" s="489">
        <v>289</v>
      </c>
      <c r="C8" s="489">
        <v>456</v>
      </c>
      <c r="D8" s="489">
        <v>282.66000000000003</v>
      </c>
      <c r="E8" s="489">
        <v>0</v>
      </c>
      <c r="F8" s="489">
        <v>563.55999999999995</v>
      </c>
      <c r="G8" s="489">
        <v>712.52</v>
      </c>
      <c r="H8" s="489">
        <v>1284</v>
      </c>
      <c r="I8" s="489">
        <v>1053.6300000000001</v>
      </c>
      <c r="J8" s="489">
        <v>745.36</v>
      </c>
      <c r="K8" s="489">
        <v>1350.06</v>
      </c>
      <c r="L8" s="489">
        <v>1746.92</v>
      </c>
      <c r="M8" s="489">
        <v>813.91</v>
      </c>
      <c r="N8" s="603">
        <f t="shared" si="0"/>
        <v>9297.619999999999</v>
      </c>
      <c r="O8" s="608">
        <f>SUM('MTRT 2015'!B8:M8)</f>
        <v>9083.0299999999988</v>
      </c>
      <c r="P8" s="638">
        <f t="shared" si="2"/>
        <v>2.3625376113477481E-2</v>
      </c>
      <c r="Q8" s="623">
        <f t="shared" si="1"/>
        <v>9.2336097547609738E-4</v>
      </c>
    </row>
    <row r="9" spans="1:17">
      <c r="A9" s="241" t="s">
        <v>158</v>
      </c>
      <c r="B9" s="489">
        <v>2269</v>
      </c>
      <c r="C9" s="489">
        <v>1414.7</v>
      </c>
      <c r="D9" s="489">
        <v>1235.3699999999999</v>
      </c>
      <c r="E9" s="489">
        <v>1101.79</v>
      </c>
      <c r="F9" s="489">
        <v>2202.35</v>
      </c>
      <c r="G9" s="489">
        <v>1886.41</v>
      </c>
      <c r="H9" s="489">
        <v>2144.56</v>
      </c>
      <c r="I9" s="489">
        <v>3741.01</v>
      </c>
      <c r="J9" s="489">
        <v>2654.8</v>
      </c>
      <c r="K9" s="489">
        <v>3145.36</v>
      </c>
      <c r="L9" s="489">
        <v>2815.91</v>
      </c>
      <c r="M9" s="489">
        <v>2289.9899999999998</v>
      </c>
      <c r="N9" s="603">
        <f t="shared" si="0"/>
        <v>26901.25</v>
      </c>
      <c r="O9" s="606">
        <f>SUM('MTRT 2015'!B9:M9)</f>
        <v>27028.26</v>
      </c>
      <c r="P9" s="638">
        <f t="shared" si="2"/>
        <v>-4.6991556245203903E-3</v>
      </c>
      <c r="Q9" s="623">
        <f t="shared" si="1"/>
        <v>2.6716046086553728E-3</v>
      </c>
    </row>
    <row r="10" spans="1:17" s="154" customFormat="1">
      <c r="A10" s="560" t="s">
        <v>159</v>
      </c>
      <c r="B10" s="460">
        <v>30046.6</v>
      </c>
      <c r="C10" s="460">
        <v>44408</v>
      </c>
      <c r="D10" s="460">
        <v>25719.5</v>
      </c>
      <c r="E10" s="460">
        <v>29665.74</v>
      </c>
      <c r="F10" s="460">
        <v>44001.279999999999</v>
      </c>
      <c r="G10" s="460">
        <v>28376.77</v>
      </c>
      <c r="H10" s="460">
        <v>39220.69</v>
      </c>
      <c r="I10" s="460">
        <v>79046.81</v>
      </c>
      <c r="J10" s="460">
        <v>63073</v>
      </c>
      <c r="K10" s="460">
        <v>81720.759999999995</v>
      </c>
      <c r="L10" s="460">
        <v>46449.41</v>
      </c>
      <c r="M10" s="460">
        <v>56076.91</v>
      </c>
      <c r="N10" s="460">
        <f t="shared" si="0"/>
        <v>567805.47000000009</v>
      </c>
      <c r="O10" s="602">
        <f>SUM('MTRT 2015'!B10:M10)</f>
        <v>526731.49</v>
      </c>
      <c r="P10" s="637">
        <f t="shared" si="2"/>
        <v>7.7978971790731766E-2</v>
      </c>
      <c r="Q10" s="598">
        <f t="shared" si="1"/>
        <v>5.638963655858855E-2</v>
      </c>
    </row>
    <row r="11" spans="1:17">
      <c r="A11" s="241" t="s">
        <v>160</v>
      </c>
      <c r="B11" s="489">
        <v>7505</v>
      </c>
      <c r="C11" s="489">
        <v>12363</v>
      </c>
      <c r="D11" s="489">
        <v>6834.58</v>
      </c>
      <c r="E11" s="489">
        <v>8143.15</v>
      </c>
      <c r="F11" s="489">
        <v>12566.14</v>
      </c>
      <c r="G11" s="489">
        <v>7581.55</v>
      </c>
      <c r="H11" s="489">
        <v>10897.67</v>
      </c>
      <c r="I11" s="489">
        <v>23184.44</v>
      </c>
      <c r="J11" s="489">
        <v>16735.46</v>
      </c>
      <c r="K11" s="489">
        <v>23110.5</v>
      </c>
      <c r="L11" s="489">
        <v>12528.8</v>
      </c>
      <c r="M11" s="489">
        <v>16090.22</v>
      </c>
      <c r="N11" s="603">
        <f t="shared" si="0"/>
        <v>157540.51</v>
      </c>
      <c r="O11" s="607">
        <f>SUM('MTRT 2015'!B11:M11)</f>
        <v>146281.52000000002</v>
      </c>
      <c r="P11" s="638">
        <f t="shared" si="2"/>
        <v>7.6967958768817679E-2</v>
      </c>
      <c r="Q11" s="623">
        <f t="shared" si="1"/>
        <v>1.5645590913653376E-2</v>
      </c>
    </row>
    <row r="12" spans="1:17">
      <c r="A12" s="241" t="s">
        <v>161</v>
      </c>
      <c r="B12" s="489">
        <v>1485</v>
      </c>
      <c r="C12" s="489">
        <v>1243.02</v>
      </c>
      <c r="D12" s="489">
        <v>1389.69</v>
      </c>
      <c r="E12" s="489">
        <v>1567.47</v>
      </c>
      <c r="F12" s="489">
        <v>1525.77</v>
      </c>
      <c r="G12" s="489">
        <v>1384.99</v>
      </c>
      <c r="H12" s="489">
        <v>1989.72</v>
      </c>
      <c r="I12" s="489">
        <v>2300.65</v>
      </c>
      <c r="J12" s="489">
        <v>2287.58</v>
      </c>
      <c r="K12" s="489">
        <v>2831.27</v>
      </c>
      <c r="L12" s="489">
        <v>2068.9699999999998</v>
      </c>
      <c r="M12" s="489">
        <v>2225.2800000000002</v>
      </c>
      <c r="N12" s="603">
        <f t="shared" si="0"/>
        <v>22299.41</v>
      </c>
      <c r="O12" s="606">
        <f>SUM('MTRT 2015'!B12:M12)</f>
        <v>22376.7</v>
      </c>
      <c r="P12" s="638">
        <f t="shared" si="2"/>
        <v>-3.4540392461802627E-3</v>
      </c>
      <c r="Q12" s="623">
        <f t="shared" si="1"/>
        <v>2.2145887840266049E-3</v>
      </c>
    </row>
    <row r="13" spans="1:17" s="154" customFormat="1">
      <c r="A13" s="560" t="s">
        <v>162</v>
      </c>
      <c r="B13" s="460">
        <v>8812</v>
      </c>
      <c r="C13" s="460">
        <v>28693.38</v>
      </c>
      <c r="D13" s="460">
        <v>6314.57</v>
      </c>
      <c r="E13" s="460">
        <v>7214.91</v>
      </c>
      <c r="F13" s="460">
        <v>37596.29</v>
      </c>
      <c r="G13" s="460">
        <v>11281.8</v>
      </c>
      <c r="H13" s="460">
        <v>12250.09</v>
      </c>
      <c r="I13" s="460">
        <v>40382.81</v>
      </c>
      <c r="J13" s="460">
        <v>21182.28</v>
      </c>
      <c r="K13" s="460">
        <v>30229.02</v>
      </c>
      <c r="L13" s="460">
        <v>30824.94</v>
      </c>
      <c r="M13" s="460">
        <v>20962.82</v>
      </c>
      <c r="N13" s="460">
        <f t="shared" si="0"/>
        <v>255744.90999999997</v>
      </c>
      <c r="O13" s="458">
        <f>SUM('MTRT 2015'!B13:M13)</f>
        <v>237621.58</v>
      </c>
      <c r="P13" s="637">
        <f t="shared" si="2"/>
        <v>7.6269714223766938E-2</v>
      </c>
      <c r="Q13" s="598">
        <f t="shared" si="1"/>
        <v>2.5398421270244078E-2</v>
      </c>
    </row>
    <row r="14" spans="1:17">
      <c r="A14" s="241" t="s">
        <v>346</v>
      </c>
      <c r="B14" s="489">
        <v>0</v>
      </c>
      <c r="C14" s="489">
        <v>9.61</v>
      </c>
      <c r="D14" s="489">
        <v>0</v>
      </c>
      <c r="E14" s="489">
        <v>0</v>
      </c>
      <c r="F14" s="489">
        <v>10.88</v>
      </c>
      <c r="G14" s="489">
        <v>0</v>
      </c>
      <c r="H14" s="489">
        <v>0</v>
      </c>
      <c r="I14" s="489">
        <v>9.7899999999999991</v>
      </c>
      <c r="J14" s="489">
        <v>0.79</v>
      </c>
      <c r="K14" s="489">
        <v>0</v>
      </c>
      <c r="L14" s="489">
        <v>7.12</v>
      </c>
      <c r="M14" s="489">
        <v>0</v>
      </c>
      <c r="N14" s="608">
        <f t="shared" si="0"/>
        <v>38.19</v>
      </c>
      <c r="O14" s="607">
        <f>SUM('MTRT 2015'!B14:M14)</f>
        <v>16.91</v>
      </c>
      <c r="P14" s="636">
        <f t="shared" si="2"/>
        <v>1.2584269662921348</v>
      </c>
      <c r="Q14" s="566">
        <f t="shared" si="1"/>
        <v>3.7927077739714208E-6</v>
      </c>
    </row>
    <row r="15" spans="1:17" s="154" customFormat="1">
      <c r="A15" s="241" t="s">
        <v>163</v>
      </c>
      <c r="B15" s="489">
        <v>1898.78</v>
      </c>
      <c r="C15" s="489">
        <v>6589.81</v>
      </c>
      <c r="D15" s="489">
        <v>1364.83</v>
      </c>
      <c r="E15" s="489">
        <v>1541.06</v>
      </c>
      <c r="F15" s="489">
        <v>8219.58</v>
      </c>
      <c r="G15" s="489">
        <v>2311.89</v>
      </c>
      <c r="H15" s="489">
        <v>2651.88</v>
      </c>
      <c r="I15" s="489">
        <v>9111.92</v>
      </c>
      <c r="J15" s="489">
        <v>4502.93</v>
      </c>
      <c r="K15" s="489">
        <v>6818.86</v>
      </c>
      <c r="L15" s="489">
        <v>6783.53</v>
      </c>
      <c r="M15" s="489">
        <v>4779.34</v>
      </c>
      <c r="N15" s="487">
        <f t="shared" si="0"/>
        <v>56574.41</v>
      </c>
      <c r="O15" s="606">
        <f>SUM('MTRT 2015'!B15:M15)</f>
        <v>51534.200000000004</v>
      </c>
      <c r="P15" s="636">
        <f t="shared" si="2"/>
        <v>9.7803206414381005E-2</v>
      </c>
      <c r="Q15" s="566">
        <f t="shared" si="1"/>
        <v>5.6184918726066117E-3</v>
      </c>
    </row>
    <row r="16" spans="1:17" s="154" customFormat="1">
      <c r="A16" s="560" t="s">
        <v>164</v>
      </c>
      <c r="B16" s="460">
        <v>1908.91</v>
      </c>
      <c r="C16" s="460">
        <v>4162.9399999999996</v>
      </c>
      <c r="D16" s="460">
        <v>872.44</v>
      </c>
      <c r="E16" s="460">
        <v>173.67</v>
      </c>
      <c r="F16" s="460">
        <v>2889.21</v>
      </c>
      <c r="G16" s="460">
        <v>7555.35</v>
      </c>
      <c r="H16" s="460">
        <v>10100.02</v>
      </c>
      <c r="I16" s="460">
        <v>17667.990000000002</v>
      </c>
      <c r="J16" s="460">
        <v>30814.15</v>
      </c>
      <c r="K16" s="460">
        <v>22107.89</v>
      </c>
      <c r="L16" s="460">
        <v>17276.8</v>
      </c>
      <c r="M16" s="460">
        <v>6241.11</v>
      </c>
      <c r="N16" s="460">
        <f t="shared" si="0"/>
        <v>121770.48</v>
      </c>
      <c r="O16" s="458">
        <f>SUM('MTRT 2015'!B16:M16)</f>
        <v>92457.869999999981</v>
      </c>
      <c r="P16" s="637">
        <f t="shared" si="2"/>
        <v>0.31703747879980382</v>
      </c>
      <c r="Q16" s="598">
        <f t="shared" si="1"/>
        <v>1.2093214091024651E-2</v>
      </c>
    </row>
    <row r="17" spans="1:17">
      <c r="A17" s="560" t="s">
        <v>165</v>
      </c>
      <c r="B17" s="460">
        <v>93516</v>
      </c>
      <c r="C17" s="460">
        <v>77804.399999999994</v>
      </c>
      <c r="D17" s="460">
        <v>74040.149999999994</v>
      </c>
      <c r="E17" s="460">
        <v>96480.5</v>
      </c>
      <c r="F17" s="460">
        <v>128069.98</v>
      </c>
      <c r="G17" s="460">
        <v>113816.65</v>
      </c>
      <c r="H17" s="460">
        <v>138973.31</v>
      </c>
      <c r="I17" s="460">
        <v>161894.20000000001</v>
      </c>
      <c r="J17" s="460">
        <v>202150.51</v>
      </c>
      <c r="K17" s="460">
        <v>194382.22</v>
      </c>
      <c r="L17" s="460">
        <v>120905.79</v>
      </c>
      <c r="M17" s="460">
        <v>149527.78</v>
      </c>
      <c r="N17" s="460">
        <f t="shared" si="0"/>
        <v>1551561.49</v>
      </c>
      <c r="O17" s="602">
        <f>SUM('MTRT 2015'!B17:M17)</f>
        <v>1456009.57</v>
      </c>
      <c r="P17" s="637">
        <f t="shared" si="2"/>
        <v>6.5625887335342137E-2</v>
      </c>
      <c r="Q17" s="598">
        <f t="shared" si="1"/>
        <v>0.15408796346995762</v>
      </c>
    </row>
    <row r="18" spans="1:17">
      <c r="A18" s="241" t="s">
        <v>166</v>
      </c>
      <c r="B18" s="489">
        <v>430</v>
      </c>
      <c r="C18" s="489">
        <v>563</v>
      </c>
      <c r="D18" s="489">
        <v>286.81</v>
      </c>
      <c r="E18" s="489">
        <v>328.95</v>
      </c>
      <c r="F18" s="489">
        <v>691.59</v>
      </c>
      <c r="G18" s="489">
        <v>546.63</v>
      </c>
      <c r="H18" s="489">
        <v>531.51</v>
      </c>
      <c r="I18" s="489">
        <v>1013.18</v>
      </c>
      <c r="J18" s="489">
        <v>819.74</v>
      </c>
      <c r="K18" s="489">
        <v>902.94</v>
      </c>
      <c r="L18" s="485">
        <v>636.07000000000005</v>
      </c>
      <c r="M18" s="489">
        <v>630.77</v>
      </c>
      <c r="N18" s="603">
        <f t="shared" si="0"/>
        <v>7381.1900000000005</v>
      </c>
      <c r="O18" s="607">
        <f>SUM('MTRT 2015'!B18:M18)</f>
        <v>6246.52</v>
      </c>
      <c r="P18" s="638">
        <f t="shared" si="2"/>
        <v>0.1816483417967123</v>
      </c>
      <c r="Q18" s="623">
        <f t="shared" si="1"/>
        <v>7.3303735779418997E-4</v>
      </c>
    </row>
    <row r="19" spans="1:17">
      <c r="A19" s="241" t="s">
        <v>167</v>
      </c>
      <c r="B19" s="489">
        <v>21</v>
      </c>
      <c r="C19" s="489">
        <v>1020.28</v>
      </c>
      <c r="D19" s="489">
        <v>2810.91</v>
      </c>
      <c r="E19" s="489">
        <v>3.59</v>
      </c>
      <c r="F19" s="489">
        <v>1923.95</v>
      </c>
      <c r="G19" s="489">
        <v>1729.79</v>
      </c>
      <c r="H19" s="489">
        <v>5606.5</v>
      </c>
      <c r="I19" s="489">
        <v>1171.33</v>
      </c>
      <c r="J19" s="489">
        <v>7789.41</v>
      </c>
      <c r="K19" s="489">
        <v>4102.8</v>
      </c>
      <c r="L19" s="485">
        <v>5224.68</v>
      </c>
      <c r="M19" s="489">
        <v>4590.51</v>
      </c>
      <c r="N19" s="603">
        <f t="shared" si="0"/>
        <v>35994.75</v>
      </c>
      <c r="O19" s="608">
        <f>SUM('MTRT 2015'!B19:M19)</f>
        <v>28418.51</v>
      </c>
      <c r="P19" s="638">
        <f t="shared" si="2"/>
        <v>0.26659525780908289</v>
      </c>
      <c r="Q19" s="623">
        <f t="shared" si="1"/>
        <v>3.5746941122586492E-3</v>
      </c>
    </row>
    <row r="20" spans="1:17">
      <c r="A20" s="241" t="s">
        <v>168</v>
      </c>
      <c r="B20" s="485">
        <v>16320</v>
      </c>
      <c r="C20" s="485">
        <v>9686.56</v>
      </c>
      <c r="D20" s="485">
        <v>13162.98</v>
      </c>
      <c r="E20" s="485">
        <v>13938.49</v>
      </c>
      <c r="F20" s="485">
        <v>18932.900000000001</v>
      </c>
      <c r="G20" s="485">
        <v>16993.05</v>
      </c>
      <c r="H20" s="485">
        <v>21595.15</v>
      </c>
      <c r="I20" s="485">
        <v>22831.99</v>
      </c>
      <c r="J20" s="485">
        <v>26371.32</v>
      </c>
      <c r="K20" s="485">
        <v>21646.59</v>
      </c>
      <c r="L20" s="485">
        <v>17077.02</v>
      </c>
      <c r="M20" s="485">
        <v>21002.05</v>
      </c>
      <c r="N20" s="603">
        <f t="shared" si="0"/>
        <v>219558.09999999998</v>
      </c>
      <c r="O20" s="608">
        <f>SUM('MTRT 2015'!B20:M20)</f>
        <v>201072.78999999998</v>
      </c>
      <c r="P20" s="638">
        <f t="shared" si="2"/>
        <v>9.1933423711880735E-2</v>
      </c>
      <c r="Q20" s="623">
        <f t="shared" si="1"/>
        <v>2.1804653383304388E-2</v>
      </c>
    </row>
    <row r="21" spans="1:17">
      <c r="A21" s="241" t="s">
        <v>274</v>
      </c>
      <c r="B21" s="485">
        <v>982</v>
      </c>
      <c r="C21" s="485">
        <v>1544.23</v>
      </c>
      <c r="D21" s="485">
        <v>0</v>
      </c>
      <c r="E21" s="485">
        <v>0</v>
      </c>
      <c r="F21" s="485">
        <v>2133.8000000000002</v>
      </c>
      <c r="G21" s="485">
        <v>2385.35</v>
      </c>
      <c r="H21" s="485">
        <v>688.1</v>
      </c>
      <c r="I21" s="485">
        <v>3665.77</v>
      </c>
      <c r="J21" s="485">
        <v>3414.58</v>
      </c>
      <c r="K21" s="485">
        <v>6547.69</v>
      </c>
      <c r="L21" s="485">
        <v>539.95000000000005</v>
      </c>
      <c r="M21" s="485">
        <v>2793.63</v>
      </c>
      <c r="N21" s="603">
        <f t="shared" si="0"/>
        <v>24695.100000000002</v>
      </c>
      <c r="O21" s="608">
        <f>SUM('MTRT 2015'!B21:M21)</f>
        <v>32289.43</v>
      </c>
      <c r="P21" s="638">
        <f t="shared" si="2"/>
        <v>-0.2351955423183375</v>
      </c>
      <c r="Q21" s="623">
        <f t="shared" si="1"/>
        <v>2.4525084511390848E-3</v>
      </c>
    </row>
    <row r="22" spans="1:17">
      <c r="A22" s="241" t="s">
        <v>170</v>
      </c>
      <c r="B22" s="490">
        <v>0</v>
      </c>
      <c r="C22" s="485">
        <v>620.52</v>
      </c>
      <c r="D22" s="485">
        <v>0</v>
      </c>
      <c r="E22" s="485">
        <v>0</v>
      </c>
      <c r="F22" s="485">
        <v>662.1</v>
      </c>
      <c r="G22" s="485">
        <v>0</v>
      </c>
      <c r="H22" s="485">
        <v>0</v>
      </c>
      <c r="I22" s="485">
        <v>903.11</v>
      </c>
      <c r="J22" s="485">
        <v>0</v>
      </c>
      <c r="K22" s="485">
        <v>0</v>
      </c>
      <c r="L22" s="485">
        <v>1002.22</v>
      </c>
      <c r="M22" s="485">
        <v>0</v>
      </c>
      <c r="N22" s="603">
        <f t="shared" si="0"/>
        <v>3187.95</v>
      </c>
      <c r="O22" s="608">
        <f>SUM('MTRT 2015'!B22:M22)</f>
        <v>3405.0299999999997</v>
      </c>
      <c r="P22" s="638">
        <f t="shared" si="2"/>
        <v>-6.3752742266587892E-2</v>
      </c>
      <c r="Q22" s="623">
        <f t="shared" si="1"/>
        <v>3.166002290660432E-4</v>
      </c>
    </row>
    <row r="23" spans="1:17">
      <c r="A23" s="241" t="s">
        <v>171</v>
      </c>
      <c r="B23" s="490">
        <v>2555</v>
      </c>
      <c r="C23" s="485">
        <v>3175.64</v>
      </c>
      <c r="D23" s="485">
        <v>3784.89</v>
      </c>
      <c r="E23" s="485">
        <v>3384.39</v>
      </c>
      <c r="F23" s="485">
        <v>3539.28</v>
      </c>
      <c r="G23" s="485">
        <v>3358.24</v>
      </c>
      <c r="H23" s="485">
        <v>2379.5</v>
      </c>
      <c r="I23" s="485">
        <v>5342.36</v>
      </c>
      <c r="J23" s="485">
        <v>4932.08</v>
      </c>
      <c r="K23" s="485">
        <v>7721.1</v>
      </c>
      <c r="L23" s="485">
        <v>2853.66</v>
      </c>
      <c r="M23" s="485">
        <v>4187.63</v>
      </c>
      <c r="N23" s="603">
        <f t="shared" si="0"/>
        <v>47213.77</v>
      </c>
      <c r="O23" s="608">
        <f>SUM('MTRT 2015'!B23:M23)</f>
        <v>46909.590000000004</v>
      </c>
      <c r="P23" s="638">
        <f t="shared" si="2"/>
        <v>6.4843883734646557E-3</v>
      </c>
      <c r="Q23" s="623">
        <f t="shared" si="1"/>
        <v>4.688872283778441E-3</v>
      </c>
    </row>
    <row r="24" spans="1:17" s="154" customFormat="1">
      <c r="A24" s="241" t="s">
        <v>172</v>
      </c>
      <c r="B24" s="485">
        <v>1477</v>
      </c>
      <c r="C24" s="485">
        <v>1228.68</v>
      </c>
      <c r="D24" s="485">
        <v>1399.22</v>
      </c>
      <c r="E24" s="485">
        <v>1338.12</v>
      </c>
      <c r="F24" s="485">
        <v>1562.2</v>
      </c>
      <c r="G24" s="485">
        <v>1491.03</v>
      </c>
      <c r="H24" s="485">
        <v>1722.62</v>
      </c>
      <c r="I24" s="485">
        <v>2300.7600000000002</v>
      </c>
      <c r="J24" s="485">
        <v>2294.77</v>
      </c>
      <c r="K24" s="485">
        <v>4415.1099999999997</v>
      </c>
      <c r="L24" s="489">
        <v>0</v>
      </c>
      <c r="M24" s="485">
        <v>1656.38</v>
      </c>
      <c r="N24" s="603">
        <f t="shared" si="0"/>
        <v>20885.89</v>
      </c>
      <c r="O24" s="606">
        <f>SUM('MTRT 2015'!B24:M24)</f>
        <v>19807.63</v>
      </c>
      <c r="P24" s="638">
        <f t="shared" si="2"/>
        <v>5.4436598421921056E-2</v>
      </c>
      <c r="Q24" s="623">
        <f t="shared" si="1"/>
        <v>2.0742099337342748E-3</v>
      </c>
    </row>
    <row r="25" spans="1:17">
      <c r="A25" s="560" t="s">
        <v>173</v>
      </c>
      <c r="B25" s="460">
        <v>2861</v>
      </c>
      <c r="C25" s="460">
        <v>2446.41</v>
      </c>
      <c r="D25" s="460">
        <v>1383.11</v>
      </c>
      <c r="E25" s="460">
        <v>1075.82</v>
      </c>
      <c r="F25" s="460">
        <v>11395.09</v>
      </c>
      <c r="G25" s="460">
        <v>1998.54</v>
      </c>
      <c r="H25" s="460">
        <v>2278.6799999999998</v>
      </c>
      <c r="I25" s="460">
        <v>14873.6</v>
      </c>
      <c r="J25" s="460">
        <v>7733.57</v>
      </c>
      <c r="K25" s="460">
        <v>9407.11</v>
      </c>
      <c r="L25" s="460">
        <v>16493.490000000002</v>
      </c>
      <c r="M25" s="460">
        <v>1431.73</v>
      </c>
      <c r="N25" s="460">
        <f t="shared" si="0"/>
        <v>73378.149999999994</v>
      </c>
      <c r="O25" s="458">
        <f>SUM('MTRT 2015'!B25:M25)</f>
        <v>81687.570000000007</v>
      </c>
      <c r="P25" s="637">
        <f t="shared" si="2"/>
        <v>-0.10172196332930472</v>
      </c>
      <c r="Q25" s="598">
        <f t="shared" si="1"/>
        <v>7.2872971967698616E-3</v>
      </c>
    </row>
    <row r="26" spans="1:17" s="154" customFormat="1">
      <c r="A26" s="241" t="s">
        <v>174</v>
      </c>
      <c r="B26" s="489">
        <v>227</v>
      </c>
      <c r="C26" s="489">
        <v>242.04</v>
      </c>
      <c r="D26" s="489">
        <v>131.12</v>
      </c>
      <c r="E26" s="489">
        <v>120.29</v>
      </c>
      <c r="F26" s="489">
        <v>206.75</v>
      </c>
      <c r="G26" s="489">
        <v>153.37</v>
      </c>
      <c r="H26" s="489">
        <v>403.6</v>
      </c>
      <c r="I26" s="489">
        <v>1705.48</v>
      </c>
      <c r="J26" s="489">
        <v>676.76</v>
      </c>
      <c r="K26" s="489">
        <v>998.43000000000006</v>
      </c>
      <c r="L26" s="489">
        <v>1631.46</v>
      </c>
      <c r="M26" s="489">
        <v>143.79</v>
      </c>
      <c r="N26" s="487">
        <f t="shared" si="0"/>
        <v>6640.09</v>
      </c>
      <c r="O26" s="606">
        <f>SUM('MTRT 2015'!B26:M26)</f>
        <v>7996.3100000000013</v>
      </c>
      <c r="P26" s="636">
        <f t="shared" si="2"/>
        <v>-0.16960573064325934</v>
      </c>
      <c r="Q26" s="566">
        <f t="shared" si="1"/>
        <v>6.5943757430924049E-4</v>
      </c>
    </row>
    <row r="27" spans="1:17">
      <c r="A27" s="560" t="s">
        <v>175</v>
      </c>
      <c r="B27" s="460">
        <v>12186</v>
      </c>
      <c r="C27" s="460">
        <v>12313.89</v>
      </c>
      <c r="D27" s="460">
        <v>11803.27</v>
      </c>
      <c r="E27" s="460">
        <v>7574.36</v>
      </c>
      <c r="F27" s="460">
        <v>49270.82</v>
      </c>
      <c r="G27" s="460">
        <v>31672.12</v>
      </c>
      <c r="H27" s="460">
        <v>53200.42</v>
      </c>
      <c r="I27" s="460">
        <v>65208.31</v>
      </c>
      <c r="J27" s="460">
        <v>46150.6</v>
      </c>
      <c r="K27" s="460">
        <v>44662.02</v>
      </c>
      <c r="L27" s="460">
        <v>67291.22</v>
      </c>
      <c r="M27" s="460">
        <v>23804.86</v>
      </c>
      <c r="N27" s="460">
        <f t="shared" si="0"/>
        <v>425137.89</v>
      </c>
      <c r="O27" s="458">
        <f>SUM('MTRT 2015'!B27:M27)</f>
        <v>394022.97</v>
      </c>
      <c r="P27" s="637">
        <f t="shared" si="2"/>
        <v>7.8967274420575162E-2</v>
      </c>
      <c r="Q27" s="598">
        <f t="shared" si="1"/>
        <v>4.2221099251448201E-2</v>
      </c>
    </row>
    <row r="28" spans="1:17" s="154" customFormat="1">
      <c r="A28" s="241" t="s">
        <v>176</v>
      </c>
      <c r="B28" s="489">
        <v>2788</v>
      </c>
      <c r="C28" s="489">
        <v>2691</v>
      </c>
      <c r="D28" s="489">
        <v>1938.59</v>
      </c>
      <c r="E28" s="489">
        <v>1782.2</v>
      </c>
      <c r="F28" s="489">
        <v>10242.709999999999</v>
      </c>
      <c r="G28" s="489">
        <v>6874.99</v>
      </c>
      <c r="H28" s="489">
        <v>12511.02</v>
      </c>
      <c r="I28" s="489">
        <v>14092.93</v>
      </c>
      <c r="J28" s="489">
        <v>10219.709999999999</v>
      </c>
      <c r="K28" s="489">
        <v>10460.700000000001</v>
      </c>
      <c r="L28" s="489">
        <v>14836.46</v>
      </c>
      <c r="M28" s="489">
        <v>5118.72</v>
      </c>
      <c r="N28" s="487">
        <f t="shared" si="0"/>
        <v>93557.03</v>
      </c>
      <c r="O28" s="606">
        <f>SUM('MTRT 2015'!B28:M28)</f>
        <v>86376.510000000009</v>
      </c>
      <c r="P28" s="636">
        <f t="shared" si="2"/>
        <v>8.313047146730046E-2</v>
      </c>
      <c r="Q28" s="566">
        <f t="shared" si="1"/>
        <v>9.2912928774725699E-3</v>
      </c>
    </row>
    <row r="29" spans="1:17">
      <c r="A29" s="560" t="s">
        <v>177</v>
      </c>
      <c r="B29" s="460">
        <v>44698</v>
      </c>
      <c r="C29" s="460">
        <v>52940.55</v>
      </c>
      <c r="D29" s="460">
        <v>19553.88</v>
      </c>
      <c r="E29" s="460">
        <v>26904.51</v>
      </c>
      <c r="F29" s="460">
        <v>88829.96</v>
      </c>
      <c r="G29" s="460">
        <v>116326.62</v>
      </c>
      <c r="H29" s="460">
        <v>204004.72</v>
      </c>
      <c r="I29" s="460">
        <v>306471.53999999998</v>
      </c>
      <c r="J29" s="460">
        <v>270994.40000000002</v>
      </c>
      <c r="K29" s="460">
        <v>236508.18</v>
      </c>
      <c r="L29" s="460">
        <v>252193.36</v>
      </c>
      <c r="M29" s="460">
        <v>181877.58</v>
      </c>
      <c r="N29" s="460">
        <f t="shared" si="0"/>
        <v>1801303.3000000003</v>
      </c>
      <c r="O29" s="458">
        <f>SUM('MTRT 2015'!B29:M29)</f>
        <v>1637550.0999999999</v>
      </c>
      <c r="P29" s="637">
        <f t="shared" si="2"/>
        <v>9.9998894690306317E-2</v>
      </c>
      <c r="Q29" s="598">
        <f t="shared" si="1"/>
        <v>0.17889020762478072</v>
      </c>
    </row>
    <row r="30" spans="1:17" s="154" customFormat="1">
      <c r="A30" s="241" t="s">
        <v>178</v>
      </c>
      <c r="B30" s="489">
        <v>607</v>
      </c>
      <c r="C30" s="489">
        <v>1585.47</v>
      </c>
      <c r="D30" s="489">
        <v>50.02</v>
      </c>
      <c r="E30" s="489">
        <v>256.8</v>
      </c>
      <c r="F30" s="489">
        <v>1436.88</v>
      </c>
      <c r="G30" s="489">
        <v>777.7</v>
      </c>
      <c r="H30" s="489">
        <v>2582.6</v>
      </c>
      <c r="I30" s="489">
        <v>5150.8999999999996</v>
      </c>
      <c r="J30" s="489">
        <v>1086.06</v>
      </c>
      <c r="K30" s="489">
        <v>1033.3900000000001</v>
      </c>
      <c r="L30" s="489">
        <v>5856.28</v>
      </c>
      <c r="M30" s="489">
        <v>906.57</v>
      </c>
      <c r="N30" s="487">
        <f t="shared" si="0"/>
        <v>21329.67</v>
      </c>
      <c r="O30" s="606">
        <f>SUM('MTRT 2015'!B30:M30)</f>
        <v>19664.86</v>
      </c>
      <c r="P30" s="636">
        <f t="shared" si="2"/>
        <v>8.4659133093243355E-2</v>
      </c>
      <c r="Q30" s="566">
        <f t="shared" si="1"/>
        <v>2.1182824096686302E-3</v>
      </c>
    </row>
    <row r="31" spans="1:17">
      <c r="A31" s="560" t="s">
        <v>179</v>
      </c>
      <c r="B31" s="460">
        <v>151031</v>
      </c>
      <c r="C31" s="460">
        <v>114205</v>
      </c>
      <c r="D31" s="460">
        <v>19261.759999999998</v>
      </c>
      <c r="E31" s="460">
        <v>117258.7</v>
      </c>
      <c r="F31" s="460">
        <v>435110.34</v>
      </c>
      <c r="G31" s="460">
        <v>401270.34</v>
      </c>
      <c r="H31" s="460">
        <v>553958.15</v>
      </c>
      <c r="I31" s="460">
        <v>606587.38</v>
      </c>
      <c r="J31" s="460">
        <v>432182.59</v>
      </c>
      <c r="K31" s="460">
        <v>482432.45</v>
      </c>
      <c r="L31" s="460">
        <v>569330.93000000005</v>
      </c>
      <c r="M31" s="460">
        <v>434222.12</v>
      </c>
      <c r="N31" s="460">
        <f t="shared" si="0"/>
        <v>4316850.76</v>
      </c>
      <c r="O31" s="458">
        <f>SUM('MTRT 2015'!B31:M31)</f>
        <v>3898673.1999999997</v>
      </c>
      <c r="P31" s="637">
        <f t="shared" si="2"/>
        <v>0.10726150629911735</v>
      </c>
      <c r="Q31" s="598">
        <f t="shared" si="1"/>
        <v>0.42871310386295985</v>
      </c>
    </row>
    <row r="32" spans="1:17" s="154" customFormat="1">
      <c r="A32" s="241" t="s">
        <v>180</v>
      </c>
      <c r="B32" s="489">
        <v>36472</v>
      </c>
      <c r="C32" s="489">
        <v>20195.78</v>
      </c>
      <c r="D32" s="489">
        <v>2159.14</v>
      </c>
      <c r="E32" s="489">
        <v>30108.54</v>
      </c>
      <c r="F32" s="489">
        <v>102326.04</v>
      </c>
      <c r="G32" s="489">
        <v>103701.56</v>
      </c>
      <c r="H32" s="489">
        <v>139855.64000000001</v>
      </c>
      <c r="I32" s="489">
        <v>136202.08000000002</v>
      </c>
      <c r="J32" s="489">
        <v>110445.76999999999</v>
      </c>
      <c r="K32" s="489">
        <v>109443.3</v>
      </c>
      <c r="L32" s="489">
        <v>146303.34</v>
      </c>
      <c r="M32" s="489">
        <v>114581.85</v>
      </c>
      <c r="N32" s="487">
        <f t="shared" si="0"/>
        <v>1051795.04</v>
      </c>
      <c r="O32" s="606">
        <f>SUM('MTRT 2015'!B32:M32)</f>
        <v>955971.63</v>
      </c>
      <c r="P32" s="636">
        <f t="shared" si="2"/>
        <v>0.10023666706510959</v>
      </c>
      <c r="Q32" s="566">
        <f t="shared" si="1"/>
        <v>0.10445538687699873</v>
      </c>
    </row>
    <row r="33" spans="1:17">
      <c r="A33" s="560" t="s">
        <v>181</v>
      </c>
      <c r="B33" s="460">
        <v>36009</v>
      </c>
      <c r="C33" s="460">
        <v>122792.45</v>
      </c>
      <c r="D33" s="460">
        <v>63004.19</v>
      </c>
      <c r="E33" s="460">
        <v>80540.490000000005</v>
      </c>
      <c r="F33" s="460">
        <v>140181.14000000001</v>
      </c>
      <c r="G33" s="460">
        <v>85046.51</v>
      </c>
      <c r="H33" s="460">
        <v>103237.51</v>
      </c>
      <c r="I33" s="460">
        <v>172934.5</v>
      </c>
      <c r="J33" s="460">
        <v>152225.35</v>
      </c>
      <c r="K33" s="460">
        <v>133568.82</v>
      </c>
      <c r="L33" s="460">
        <v>210229.87</v>
      </c>
      <c r="M33" s="460">
        <v>96170.23</v>
      </c>
      <c r="N33" s="460">
        <f t="shared" si="0"/>
        <v>1395940.06</v>
      </c>
      <c r="O33" s="602">
        <f>SUM('MTRT 2015'!B33:M33)</f>
        <v>1127480.9099999999</v>
      </c>
      <c r="P33" s="637">
        <f t="shared" si="2"/>
        <v>0.23810527310834928</v>
      </c>
      <c r="Q33" s="598">
        <f t="shared" si="1"/>
        <v>0.1386329593495714</v>
      </c>
    </row>
    <row r="34" spans="1:17">
      <c r="A34" s="241" t="s">
        <v>182</v>
      </c>
      <c r="B34" s="489">
        <v>5330</v>
      </c>
      <c r="C34" s="489">
        <v>17830.71</v>
      </c>
      <c r="D34" s="489">
        <v>7934.92</v>
      </c>
      <c r="E34" s="489">
        <v>13003.5</v>
      </c>
      <c r="F34" s="489">
        <v>23042.3</v>
      </c>
      <c r="G34" s="489">
        <v>16820.04</v>
      </c>
      <c r="H34" s="489">
        <v>18087.759999999998</v>
      </c>
      <c r="I34" s="489">
        <v>36731.32</v>
      </c>
      <c r="J34" s="489">
        <v>30403.95</v>
      </c>
      <c r="K34" s="489">
        <v>25389.040000000001</v>
      </c>
      <c r="L34" s="489">
        <v>40919.68</v>
      </c>
      <c r="M34" s="489">
        <v>20059.79</v>
      </c>
      <c r="N34" s="603">
        <f t="shared" si="0"/>
        <v>255553.01</v>
      </c>
      <c r="O34" s="607">
        <f>SUM('MTRT 2015'!B34:M34)</f>
        <v>210914.39</v>
      </c>
      <c r="P34" s="638">
        <f t="shared" si="2"/>
        <v>0.21164331177213658</v>
      </c>
      <c r="Q34" s="623">
        <f t="shared" si="1"/>
        <v>2.5379363385409696E-2</v>
      </c>
    </row>
    <row r="35" spans="1:17" s="154" customFormat="1">
      <c r="A35" s="241" t="s">
        <v>183</v>
      </c>
      <c r="B35" s="489">
        <v>3043</v>
      </c>
      <c r="C35" s="489">
        <v>10459.65</v>
      </c>
      <c r="D35" s="489">
        <v>6359.73</v>
      </c>
      <c r="E35" s="489">
        <v>5739.74</v>
      </c>
      <c r="F35" s="489">
        <v>9337.59</v>
      </c>
      <c r="G35" s="489">
        <v>1556.53</v>
      </c>
      <c r="H35" s="489">
        <v>4121.93</v>
      </c>
      <c r="I35" s="489">
        <v>3027.08</v>
      </c>
      <c r="J35" s="489">
        <v>5153.3900000000003</v>
      </c>
      <c r="K35" s="489">
        <v>5903.58</v>
      </c>
      <c r="L35" s="489">
        <v>6509.72</v>
      </c>
      <c r="M35" s="489">
        <v>2406.41</v>
      </c>
      <c r="N35" s="603">
        <f t="shared" si="0"/>
        <v>63618.349999999991</v>
      </c>
      <c r="O35" s="606">
        <f>SUM('MTRT 2015'!B35:M35)</f>
        <v>49679.659999999996</v>
      </c>
      <c r="P35" s="638">
        <f t="shared" si="2"/>
        <v>0.28057136461883991</v>
      </c>
      <c r="Q35" s="623">
        <f t="shared" si="1"/>
        <v>6.3180364129938396E-3</v>
      </c>
    </row>
    <row r="36" spans="1:17">
      <c r="A36" s="560" t="s">
        <v>184</v>
      </c>
      <c r="B36" s="460">
        <v>1877</v>
      </c>
      <c r="C36" s="460">
        <v>8651.01</v>
      </c>
      <c r="D36" s="460">
        <v>3448.46</v>
      </c>
      <c r="E36" s="460">
        <v>1851.91</v>
      </c>
      <c r="F36" s="460">
        <v>11067.26</v>
      </c>
      <c r="G36" s="460">
        <v>4014.55</v>
      </c>
      <c r="H36" s="460">
        <v>2538.89</v>
      </c>
      <c r="I36" s="460">
        <v>20730.2</v>
      </c>
      <c r="J36" s="460">
        <v>5876.52</v>
      </c>
      <c r="K36" s="460">
        <v>2860.93</v>
      </c>
      <c r="L36" s="460">
        <v>20470.29</v>
      </c>
      <c r="M36" s="460">
        <v>3210.35</v>
      </c>
      <c r="N36" s="460">
        <f t="shared" ref="N36:N67" si="3">SUM(B36:M36)</f>
        <v>86597.37000000001</v>
      </c>
      <c r="O36" s="458">
        <f>SUM('MTRT 2015'!B36:M36)</f>
        <v>86784.43</v>
      </c>
      <c r="P36" s="637">
        <f t="shared" si="2"/>
        <v>-2.155455765509795E-3</v>
      </c>
      <c r="Q36" s="598">
        <f t="shared" ref="Q36:Q67" si="4">N36/$N$103</f>
        <v>8.6001183138119802E-3</v>
      </c>
    </row>
    <row r="37" spans="1:17" s="154" customFormat="1">
      <c r="A37" s="241" t="s">
        <v>185</v>
      </c>
      <c r="B37" s="489">
        <v>0</v>
      </c>
      <c r="C37" s="489">
        <v>0</v>
      </c>
      <c r="D37" s="489">
        <v>0</v>
      </c>
      <c r="E37" s="489">
        <v>0</v>
      </c>
      <c r="F37" s="489">
        <v>0</v>
      </c>
      <c r="G37" s="489">
        <v>0</v>
      </c>
      <c r="H37" s="489">
        <v>0</v>
      </c>
      <c r="I37" s="489">
        <v>0</v>
      </c>
      <c r="J37" s="489">
        <v>0</v>
      </c>
      <c r="K37" s="489">
        <v>0</v>
      </c>
      <c r="L37" s="489">
        <v>0</v>
      </c>
      <c r="M37" s="489">
        <v>0</v>
      </c>
      <c r="N37" s="487">
        <f t="shared" si="3"/>
        <v>0</v>
      </c>
      <c r="O37" s="606">
        <f>SUM('MTRT 2015'!B37:M37)</f>
        <v>0</v>
      </c>
      <c r="P37" s="636" t="e">
        <f t="shared" si="2"/>
        <v>#DIV/0!</v>
      </c>
      <c r="Q37" s="566">
        <f t="shared" si="4"/>
        <v>0</v>
      </c>
    </row>
    <row r="38" spans="1:17">
      <c r="A38" s="560" t="s">
        <v>186</v>
      </c>
      <c r="B38" s="460">
        <v>75257</v>
      </c>
      <c r="C38" s="460">
        <v>107781.01</v>
      </c>
      <c r="D38" s="460">
        <v>36965.42</v>
      </c>
      <c r="E38" s="460">
        <v>51453.51</v>
      </c>
      <c r="F38" s="460">
        <v>235756.12</v>
      </c>
      <c r="G38" s="460">
        <v>80644.94</v>
      </c>
      <c r="H38" s="460">
        <v>306229.86</v>
      </c>
      <c r="I38" s="460">
        <v>356864.94</v>
      </c>
      <c r="J38" s="460">
        <v>261958.68</v>
      </c>
      <c r="K38" s="460">
        <v>172670.73</v>
      </c>
      <c r="L38" s="460">
        <v>451033.23</v>
      </c>
      <c r="M38" s="460">
        <v>172767.76</v>
      </c>
      <c r="N38" s="460">
        <f t="shared" si="3"/>
        <v>2309383.2000000002</v>
      </c>
      <c r="O38" s="602">
        <f>SUM('MTRT 2015'!B38:M38)</f>
        <v>1896437.5000000002</v>
      </c>
      <c r="P38" s="637">
        <f t="shared" si="2"/>
        <v>0.21774811982994424</v>
      </c>
      <c r="Q38" s="598">
        <f t="shared" si="4"/>
        <v>0.22934840575331233</v>
      </c>
    </row>
    <row r="39" spans="1:17">
      <c r="A39" s="241" t="s">
        <v>187</v>
      </c>
      <c r="B39" s="489">
        <v>294.55</v>
      </c>
      <c r="C39" s="489">
        <v>470.5</v>
      </c>
      <c r="D39" s="489">
        <v>0</v>
      </c>
      <c r="E39" s="489">
        <v>0</v>
      </c>
      <c r="F39" s="489">
        <v>460.38</v>
      </c>
      <c r="G39" s="489">
        <v>110</v>
      </c>
      <c r="H39" s="489">
        <v>212.96</v>
      </c>
      <c r="I39" s="489">
        <v>1468.54</v>
      </c>
      <c r="J39" s="489">
        <v>157.04</v>
      </c>
      <c r="K39" s="489">
        <v>238.92</v>
      </c>
      <c r="L39" s="489">
        <v>1494.95</v>
      </c>
      <c r="M39" s="489">
        <v>0</v>
      </c>
      <c r="N39" s="603">
        <f t="shared" si="3"/>
        <v>4907.84</v>
      </c>
      <c r="O39" s="607">
        <f>SUM('MTRT 2015'!B39:M39)</f>
        <v>4111.0199999999995</v>
      </c>
      <c r="P39" s="638">
        <f t="shared" si="2"/>
        <v>0.19382537667051025</v>
      </c>
      <c r="Q39" s="623">
        <f t="shared" si="4"/>
        <v>4.8740515636051058E-4</v>
      </c>
    </row>
    <row r="40" spans="1:17" s="154" customFormat="1">
      <c r="A40" s="241" t="s">
        <v>188</v>
      </c>
      <c r="B40" s="489">
        <v>4487.71</v>
      </c>
      <c r="C40" s="489">
        <v>11827.97</v>
      </c>
      <c r="D40" s="489">
        <v>3215.34</v>
      </c>
      <c r="E40" s="489">
        <v>4611.3100000000004</v>
      </c>
      <c r="F40" s="489">
        <v>13392.92</v>
      </c>
      <c r="G40" s="489">
        <v>9765.14</v>
      </c>
      <c r="H40" s="489">
        <v>19038.849999999999</v>
      </c>
      <c r="I40" s="489">
        <v>36997.11</v>
      </c>
      <c r="J40" s="489">
        <v>20253.71</v>
      </c>
      <c r="K40" s="489">
        <v>22562.82</v>
      </c>
      <c r="L40" s="489">
        <v>39299.550000000003</v>
      </c>
      <c r="M40" s="489">
        <v>15369.31</v>
      </c>
      <c r="N40" s="603">
        <f t="shared" si="3"/>
        <v>200821.74</v>
      </c>
      <c r="O40" s="606">
        <f>SUM('MTRT 2015'!B40:M40)</f>
        <v>154991.26999999999</v>
      </c>
      <c r="P40" s="638">
        <f t="shared" si="2"/>
        <v>0.29569710603700461</v>
      </c>
      <c r="Q40" s="623">
        <f t="shared" si="4"/>
        <v>1.9943916587600613E-2</v>
      </c>
    </row>
    <row r="41" spans="1:17">
      <c r="A41" s="560" t="s">
        <v>189</v>
      </c>
      <c r="B41" s="460">
        <v>7433.83</v>
      </c>
      <c r="C41" s="460">
        <v>11500</v>
      </c>
      <c r="D41" s="460">
        <v>6749.85</v>
      </c>
      <c r="E41" s="460">
        <v>12573.73</v>
      </c>
      <c r="F41" s="460">
        <v>23454.73</v>
      </c>
      <c r="G41" s="460">
        <v>11314.88</v>
      </c>
      <c r="H41" s="460">
        <v>9726.43</v>
      </c>
      <c r="I41" s="460">
        <v>16357.26</v>
      </c>
      <c r="J41" s="460">
        <v>16497.38</v>
      </c>
      <c r="K41" s="460">
        <v>10551.42</v>
      </c>
      <c r="L41" s="460">
        <v>24849.68</v>
      </c>
      <c r="M41" s="460">
        <v>8402.4599999999991</v>
      </c>
      <c r="N41" s="460">
        <f t="shared" si="3"/>
        <v>159411.65</v>
      </c>
      <c r="O41" s="602">
        <f>SUM('MTRT 2015'!B41:M41)</f>
        <v>128673.20000000001</v>
      </c>
      <c r="P41" s="637">
        <f t="shared" si="2"/>
        <v>0.2388877404152534</v>
      </c>
      <c r="Q41" s="598">
        <f t="shared" si="4"/>
        <v>1.5831416711615903E-2</v>
      </c>
    </row>
    <row r="42" spans="1:17">
      <c r="A42" s="241" t="s">
        <v>190</v>
      </c>
      <c r="B42" s="489">
        <v>828.81</v>
      </c>
      <c r="C42" s="489">
        <v>1671.42</v>
      </c>
      <c r="D42" s="489">
        <v>915.41</v>
      </c>
      <c r="E42" s="489">
        <v>2301.09</v>
      </c>
      <c r="F42" s="489">
        <v>209.05</v>
      </c>
      <c r="G42" s="489">
        <v>1780.85</v>
      </c>
      <c r="H42" s="489">
        <v>1070.97</v>
      </c>
      <c r="I42" s="489">
        <v>2558.46</v>
      </c>
      <c r="J42" s="489">
        <v>1297.3599999999999</v>
      </c>
      <c r="K42" s="489">
        <v>1150.6199999999999</v>
      </c>
      <c r="L42" s="489">
        <v>2537.35</v>
      </c>
      <c r="M42" s="489">
        <v>1819.43</v>
      </c>
      <c r="N42" s="603">
        <f t="shared" si="3"/>
        <v>18140.819999999996</v>
      </c>
      <c r="O42" s="607">
        <f>SUM('MTRT 2015'!B42:M42)</f>
        <v>15316.82</v>
      </c>
      <c r="P42" s="638">
        <f t="shared" si="2"/>
        <v>0.18437247418197744</v>
      </c>
      <c r="Q42" s="623">
        <f t="shared" si="4"/>
        <v>1.8015928002151405E-3</v>
      </c>
    </row>
    <row r="43" spans="1:17" s="154" customFormat="1">
      <c r="A43" s="241" t="s">
        <v>191</v>
      </c>
      <c r="B43" s="489">
        <v>1648.73</v>
      </c>
      <c r="C43" s="489">
        <v>1681.14</v>
      </c>
      <c r="D43" s="489">
        <v>1334.54</v>
      </c>
      <c r="E43" s="489">
        <v>1890.15</v>
      </c>
      <c r="F43" s="489">
        <v>2782.41</v>
      </c>
      <c r="G43" s="489">
        <v>1990.79</v>
      </c>
      <c r="H43" s="489">
        <v>2171.19</v>
      </c>
      <c r="I43" s="489">
        <v>2339.6999999999998</v>
      </c>
      <c r="J43" s="489">
        <v>4158.49</v>
      </c>
      <c r="K43" s="489">
        <v>2323.36</v>
      </c>
      <c r="L43" s="489">
        <v>4594.59</v>
      </c>
      <c r="M43" s="489">
        <v>771.58</v>
      </c>
      <c r="N43" s="603">
        <f t="shared" si="3"/>
        <v>27686.670000000002</v>
      </c>
      <c r="O43" s="606">
        <f>SUM('MTRT 2015'!B43:M43)</f>
        <v>25010.390000000003</v>
      </c>
      <c r="P43" s="638">
        <f t="shared" si="2"/>
        <v>0.10700672800384159</v>
      </c>
      <c r="Q43" s="623">
        <f t="shared" si="4"/>
        <v>2.7496058796643449E-3</v>
      </c>
    </row>
    <row r="44" spans="1:17" s="154" customFormat="1">
      <c r="A44" s="563" t="s">
        <v>192</v>
      </c>
      <c r="B44" s="478">
        <v>49.84</v>
      </c>
      <c r="C44" s="478">
        <v>615</v>
      </c>
      <c r="D44" s="478">
        <v>42.66</v>
      </c>
      <c r="E44" s="478">
        <v>85.77</v>
      </c>
      <c r="F44" s="478">
        <v>141.30000000000001</v>
      </c>
      <c r="G44" s="478">
        <v>693.7</v>
      </c>
      <c r="H44" s="478">
        <v>0</v>
      </c>
      <c r="I44" s="478">
        <v>1231.03</v>
      </c>
      <c r="J44" s="478">
        <v>1753.87</v>
      </c>
      <c r="K44" s="478">
        <v>0</v>
      </c>
      <c r="L44" s="460">
        <v>1017.33</v>
      </c>
      <c r="M44" s="478">
        <v>210.68</v>
      </c>
      <c r="N44" s="478">
        <f t="shared" si="3"/>
        <v>5841.18</v>
      </c>
      <c r="O44" s="458">
        <f>SUM('MTRT 2015'!B44:M44)</f>
        <v>5325.88</v>
      </c>
      <c r="P44" s="639">
        <f t="shared" si="2"/>
        <v>9.6753963664220732E-2</v>
      </c>
      <c r="Q44" s="599">
        <f t="shared" si="4"/>
        <v>5.8009659060399019E-4</v>
      </c>
    </row>
    <row r="45" spans="1:17" s="154" customFormat="1">
      <c r="A45" s="560" t="s">
        <v>193</v>
      </c>
      <c r="B45" s="460">
        <v>1336.72</v>
      </c>
      <c r="C45" s="460">
        <v>1840.62</v>
      </c>
      <c r="D45" s="460">
        <v>39.130000000000003</v>
      </c>
      <c r="E45" s="460">
        <v>528.88</v>
      </c>
      <c r="F45" s="460">
        <v>501.49</v>
      </c>
      <c r="G45" s="460">
        <v>508.41</v>
      </c>
      <c r="H45" s="460">
        <v>1510.15</v>
      </c>
      <c r="I45" s="460">
        <v>3776.17</v>
      </c>
      <c r="J45" s="460">
        <v>869.34</v>
      </c>
      <c r="K45" s="460">
        <v>19.170000000000002</v>
      </c>
      <c r="L45" s="460">
        <v>10863.85</v>
      </c>
      <c r="M45" s="460">
        <v>189.47</v>
      </c>
      <c r="N45" s="460">
        <f t="shared" si="3"/>
        <v>21983.4</v>
      </c>
      <c r="O45" s="458">
        <f>SUM('MTRT 2015'!B45:M45)</f>
        <v>25034.68</v>
      </c>
      <c r="P45" s="637">
        <f t="shared" si="2"/>
        <v>-0.12188212511603902</v>
      </c>
      <c r="Q45" s="598">
        <f t="shared" si="4"/>
        <v>2.1832053437633764E-3</v>
      </c>
    </row>
    <row r="46" spans="1:17" s="154" customFormat="1">
      <c r="A46" s="560" t="s">
        <v>194</v>
      </c>
      <c r="B46" s="460">
        <v>12541</v>
      </c>
      <c r="C46" s="460">
        <v>11710.55</v>
      </c>
      <c r="D46" s="460">
        <v>10221.66</v>
      </c>
      <c r="E46" s="460">
        <v>4090.56</v>
      </c>
      <c r="F46" s="460">
        <v>7031.22</v>
      </c>
      <c r="G46" s="460">
        <v>3164.37</v>
      </c>
      <c r="H46" s="460">
        <v>10089.32</v>
      </c>
      <c r="I46" s="460">
        <v>37727.269999999997</v>
      </c>
      <c r="J46" s="460">
        <v>51957.65</v>
      </c>
      <c r="K46" s="460">
        <v>57555.63</v>
      </c>
      <c r="L46" s="460">
        <v>75103.89</v>
      </c>
      <c r="M46" s="460">
        <v>4192.5</v>
      </c>
      <c r="N46" s="460">
        <f t="shared" si="3"/>
        <v>285385.62</v>
      </c>
      <c r="O46" s="458">
        <f>SUM('MTRT 2015'!B46:M46)</f>
        <v>209879.26</v>
      </c>
      <c r="P46" s="637">
        <f t="shared" si="2"/>
        <v>0.3597609406474942</v>
      </c>
      <c r="Q46" s="598">
        <f t="shared" si="4"/>
        <v>2.8342085874670173E-2</v>
      </c>
    </row>
    <row r="47" spans="1:17">
      <c r="A47" s="560" t="s">
        <v>195</v>
      </c>
      <c r="B47" s="460">
        <v>917757</v>
      </c>
      <c r="C47" s="460">
        <v>1209886.73</v>
      </c>
      <c r="D47" s="460">
        <v>1378079.6</v>
      </c>
      <c r="E47" s="460">
        <v>1406886.5</v>
      </c>
      <c r="F47" s="460">
        <v>1810799</v>
      </c>
      <c r="G47" s="460">
        <v>1102753.6599999999</v>
      </c>
      <c r="H47" s="460">
        <v>1264320.1100000001</v>
      </c>
      <c r="I47" s="460">
        <v>1540892.83</v>
      </c>
      <c r="J47" s="460">
        <v>1672300.36</v>
      </c>
      <c r="K47" s="460">
        <v>1796412.99</v>
      </c>
      <c r="L47" s="460">
        <v>1573954.39</v>
      </c>
      <c r="M47" s="460">
        <v>1333294.6200000001</v>
      </c>
      <c r="N47" s="460">
        <f t="shared" si="3"/>
        <v>17007337.789999999</v>
      </c>
      <c r="O47" s="602">
        <f>SUM('MTRT 2015'!B47:M47)</f>
        <v>16471452.83</v>
      </c>
      <c r="P47" s="637">
        <f t="shared" si="2"/>
        <v>3.2534164747384908E-2</v>
      </c>
      <c r="Q47" s="598">
        <f t="shared" si="4"/>
        <v>1.6890249345559289</v>
      </c>
    </row>
    <row r="48" spans="1:17">
      <c r="A48" s="241" t="s">
        <v>196</v>
      </c>
      <c r="B48" s="489">
        <v>1300</v>
      </c>
      <c r="C48" s="489">
        <v>4267</v>
      </c>
      <c r="D48" s="489">
        <v>3355.51</v>
      </c>
      <c r="E48" s="489">
        <v>2774.01</v>
      </c>
      <c r="F48" s="489">
        <v>6568.06</v>
      </c>
      <c r="G48" s="489">
        <v>1488.28</v>
      </c>
      <c r="H48" s="489">
        <v>1872.02</v>
      </c>
      <c r="I48" s="489">
        <v>3246.05</v>
      </c>
      <c r="J48" s="489">
        <v>2123.0300000000002</v>
      </c>
      <c r="K48" s="489">
        <v>2224.75</v>
      </c>
      <c r="L48" s="489">
        <v>3215.35</v>
      </c>
      <c r="M48" s="489">
        <v>1126.32</v>
      </c>
      <c r="N48" s="603">
        <f t="shared" si="3"/>
        <v>33560.379999999997</v>
      </c>
      <c r="O48" s="607">
        <f>SUM('MTRT 2015'!B48:M48)</f>
        <v>28262.710000000003</v>
      </c>
      <c r="P48" s="638">
        <f t="shared" si="2"/>
        <v>0.18744380846705755</v>
      </c>
      <c r="Q48" s="623">
        <f t="shared" si="4"/>
        <v>3.3329330747168106E-3</v>
      </c>
    </row>
    <row r="49" spans="1:17">
      <c r="A49" s="241" t="s">
        <v>198</v>
      </c>
      <c r="B49" s="489">
        <v>4590</v>
      </c>
      <c r="C49" s="489">
        <v>5377</v>
      </c>
      <c r="D49" s="489">
        <v>5686.06</v>
      </c>
      <c r="E49" s="489">
        <v>5425.99</v>
      </c>
      <c r="F49" s="489">
        <v>9030.34</v>
      </c>
      <c r="G49" s="489">
        <v>5496.51</v>
      </c>
      <c r="H49" s="489">
        <v>6018.31</v>
      </c>
      <c r="I49" s="489">
        <v>10348.26</v>
      </c>
      <c r="J49" s="489">
        <v>7059.82</v>
      </c>
      <c r="K49" s="489">
        <v>8232.36</v>
      </c>
      <c r="L49" s="489">
        <v>9755.44</v>
      </c>
      <c r="M49" s="489">
        <v>6874.26</v>
      </c>
      <c r="N49" s="603">
        <f t="shared" si="3"/>
        <v>83894.349999999991</v>
      </c>
      <c r="O49" s="608">
        <f>SUM('MTRT 2015'!B49:M49)</f>
        <v>73696.62</v>
      </c>
      <c r="P49" s="638">
        <f t="shared" si="2"/>
        <v>0.13837446004986376</v>
      </c>
      <c r="Q49" s="623">
        <f t="shared" si="4"/>
        <v>8.3316772306174201E-3</v>
      </c>
    </row>
    <row r="50" spans="1:17">
      <c r="A50" s="241" t="s">
        <v>199</v>
      </c>
      <c r="B50" s="489">
        <v>5137</v>
      </c>
      <c r="C50" s="489">
        <v>7938.22</v>
      </c>
      <c r="D50" s="489">
        <v>4129.0600000000004</v>
      </c>
      <c r="E50" s="489">
        <v>8287.06</v>
      </c>
      <c r="F50" s="489">
        <v>12612.79</v>
      </c>
      <c r="G50" s="489">
        <v>2465.9299999999998</v>
      </c>
      <c r="H50" s="489">
        <v>9882.39</v>
      </c>
      <c r="I50" s="489">
        <v>3446.42</v>
      </c>
      <c r="J50" s="489">
        <v>11832.16</v>
      </c>
      <c r="K50" s="489">
        <v>7440.21</v>
      </c>
      <c r="L50" s="489">
        <v>2582.58</v>
      </c>
      <c r="M50" s="489">
        <v>9100.7000000000007</v>
      </c>
      <c r="N50" s="603">
        <f t="shared" si="3"/>
        <v>84854.52</v>
      </c>
      <c r="O50" s="608">
        <f>SUM('MTRT 2015'!B50:M50)</f>
        <v>86821.060000000012</v>
      </c>
      <c r="P50" s="638">
        <f t="shared" si="2"/>
        <v>-2.2650495167877538E-2</v>
      </c>
      <c r="Q50" s="623">
        <f t="shared" si="4"/>
        <v>8.4270331935222161E-3</v>
      </c>
    </row>
    <row r="51" spans="1:17">
      <c r="A51" s="241" t="s">
        <v>200</v>
      </c>
      <c r="B51" s="489">
        <v>6848</v>
      </c>
      <c r="C51" s="489">
        <v>8040.79</v>
      </c>
      <c r="D51" s="489">
        <v>12944.76</v>
      </c>
      <c r="E51" s="489">
        <v>9416.7199999999993</v>
      </c>
      <c r="F51" s="489">
        <v>10278.89</v>
      </c>
      <c r="G51" s="489">
        <v>11252.17</v>
      </c>
      <c r="H51" s="489">
        <v>12320.39</v>
      </c>
      <c r="I51" s="489">
        <v>16355.09</v>
      </c>
      <c r="J51" s="489">
        <v>15344.77</v>
      </c>
      <c r="K51" s="489">
        <v>17475.95</v>
      </c>
      <c r="L51" s="489">
        <v>15082.78</v>
      </c>
      <c r="M51" s="489">
        <v>12327.23</v>
      </c>
      <c r="N51" s="603">
        <f t="shared" si="3"/>
        <v>147687.54</v>
      </c>
      <c r="O51" s="608">
        <f>SUM('MTRT 2015'!B51:M51)</f>
        <v>141868.20000000001</v>
      </c>
      <c r="P51" s="638">
        <f t="shared" si="2"/>
        <v>4.1019340486451394E-2</v>
      </c>
      <c r="Q51" s="623">
        <f t="shared" si="4"/>
        <v>1.4667077273545829E-2</v>
      </c>
    </row>
    <row r="52" spans="1:17">
      <c r="A52" s="241" t="s">
        <v>201</v>
      </c>
      <c r="B52" s="489">
        <v>9728</v>
      </c>
      <c r="C52" s="489">
        <v>12487.37</v>
      </c>
      <c r="D52" s="489">
        <v>15260.15</v>
      </c>
      <c r="E52" s="489">
        <v>15709.91</v>
      </c>
      <c r="F52" s="489">
        <v>16969.439999999999</v>
      </c>
      <c r="G52" s="489">
        <v>14498.76</v>
      </c>
      <c r="H52" s="489">
        <v>16013.24</v>
      </c>
      <c r="I52" s="489">
        <v>20383.07</v>
      </c>
      <c r="J52" s="489">
        <v>18871.59</v>
      </c>
      <c r="K52" s="489">
        <v>22431.14</v>
      </c>
      <c r="L52" s="489">
        <v>17871.240000000002</v>
      </c>
      <c r="M52" s="489">
        <v>14681.78</v>
      </c>
      <c r="N52" s="603">
        <f t="shared" si="3"/>
        <v>194905.68999999997</v>
      </c>
      <c r="O52" s="608">
        <f>SUM('MTRT 2015'!B52:M52)</f>
        <v>180475.11</v>
      </c>
      <c r="P52" s="638">
        <f t="shared" si="2"/>
        <v>7.9958837537209337E-2</v>
      </c>
      <c r="Q52" s="623">
        <f t="shared" si="4"/>
        <v>1.9356384541876506E-2</v>
      </c>
    </row>
    <row r="53" spans="1:17">
      <c r="A53" s="241" t="s">
        <v>202</v>
      </c>
      <c r="B53" s="489">
        <v>183416</v>
      </c>
      <c r="C53" s="489">
        <v>208882.49</v>
      </c>
      <c r="D53" s="489">
        <v>230832.25</v>
      </c>
      <c r="E53" s="489">
        <v>224819.45</v>
      </c>
      <c r="F53" s="489">
        <v>290745.34999999998</v>
      </c>
      <c r="G53" s="489">
        <v>212623.02</v>
      </c>
      <c r="H53" s="489">
        <v>240470.16</v>
      </c>
      <c r="I53" s="489">
        <v>291317.06</v>
      </c>
      <c r="J53" s="489">
        <v>320660.32</v>
      </c>
      <c r="K53" s="489">
        <v>353079.44</v>
      </c>
      <c r="L53" s="489">
        <v>304118.74</v>
      </c>
      <c r="M53" s="489">
        <v>263416.62</v>
      </c>
      <c r="N53" s="603">
        <f t="shared" si="3"/>
        <v>3124380.9000000004</v>
      </c>
      <c r="O53" s="608">
        <f>SUM('MTRT 2015'!B53:M53)</f>
        <v>3045639.8999999994</v>
      </c>
      <c r="P53" s="638">
        <f t="shared" si="2"/>
        <v>2.585368020690848E-2</v>
      </c>
      <c r="Q53" s="623">
        <f t="shared" si="4"/>
        <v>0.31028708374647357</v>
      </c>
    </row>
    <row r="54" spans="1:17">
      <c r="A54" s="241" t="s">
        <v>203</v>
      </c>
      <c r="B54" s="489">
        <v>27113</v>
      </c>
      <c r="C54" s="489">
        <v>25386.28</v>
      </c>
      <c r="D54" s="489">
        <v>32120.74</v>
      </c>
      <c r="E54" s="489">
        <v>36068.019999999997</v>
      </c>
      <c r="F54" s="489">
        <v>47331.65</v>
      </c>
      <c r="G54" s="489">
        <v>25801.82</v>
      </c>
      <c r="H54" s="489">
        <v>35914.71</v>
      </c>
      <c r="I54" s="489">
        <v>36124.369999999995</v>
      </c>
      <c r="J54" s="489">
        <v>47267.88</v>
      </c>
      <c r="K54" s="489">
        <v>46459.29</v>
      </c>
      <c r="L54" s="489">
        <v>33875.119999999995</v>
      </c>
      <c r="M54" s="489">
        <v>37103.480000000003</v>
      </c>
      <c r="N54" s="603">
        <f t="shared" si="3"/>
        <v>430566.35999999993</v>
      </c>
      <c r="O54" s="608">
        <f>SUM('MTRT 2015'!B54:M54)</f>
        <v>448153.11000000004</v>
      </c>
      <c r="P54" s="638">
        <f t="shared" si="2"/>
        <v>-3.9242726665447258E-2</v>
      </c>
      <c r="Q54" s="623">
        <f t="shared" si="4"/>
        <v>4.2760208975715558E-2</v>
      </c>
    </row>
    <row r="55" spans="1:17">
      <c r="A55" s="241" t="s">
        <v>330</v>
      </c>
      <c r="B55" s="489">
        <v>1796</v>
      </c>
      <c r="C55" s="489">
        <v>7331</v>
      </c>
      <c r="D55" s="489">
        <v>5773.14</v>
      </c>
      <c r="E55" s="489">
        <v>2547.5</v>
      </c>
      <c r="F55" s="489">
        <v>9145.8700000000008</v>
      </c>
      <c r="G55" s="489">
        <v>4614.34</v>
      </c>
      <c r="H55" s="489">
        <v>6367.67</v>
      </c>
      <c r="I55" s="489">
        <v>4428.7299999999996</v>
      </c>
      <c r="J55" s="489">
        <v>6642.03</v>
      </c>
      <c r="K55" s="489">
        <v>3943.68</v>
      </c>
      <c r="L55" s="485">
        <v>9354.1299999999992</v>
      </c>
      <c r="M55" s="489">
        <v>2945.05</v>
      </c>
      <c r="N55" s="603">
        <f t="shared" si="3"/>
        <v>64889.14</v>
      </c>
      <c r="O55" s="608">
        <f>SUM('MTRT 2015'!B55:M55)</f>
        <v>72222.490000000005</v>
      </c>
      <c r="P55" s="638">
        <f t="shared" si="2"/>
        <v>-0.10153831583485984</v>
      </c>
      <c r="Q55" s="623">
        <f t="shared" si="4"/>
        <v>6.4442405269526026E-3</v>
      </c>
    </row>
    <row r="56" spans="1:17" s="154" customFormat="1">
      <c r="A56" s="241" t="s">
        <v>204</v>
      </c>
      <c r="B56" s="489">
        <v>1539</v>
      </c>
      <c r="C56" s="489">
        <v>2642.61</v>
      </c>
      <c r="D56" s="489">
        <v>3423.52</v>
      </c>
      <c r="E56" s="489">
        <v>2076.52</v>
      </c>
      <c r="F56" s="489">
        <v>3847.22</v>
      </c>
      <c r="G56" s="489">
        <v>2522.69</v>
      </c>
      <c r="H56" s="489">
        <v>3168.25</v>
      </c>
      <c r="I56" s="489">
        <v>5166.22</v>
      </c>
      <c r="J56" s="489">
        <v>4081.74</v>
      </c>
      <c r="K56" s="489">
        <v>3463.69</v>
      </c>
      <c r="L56" s="485">
        <v>5643.34</v>
      </c>
      <c r="M56" s="489">
        <v>2759.29</v>
      </c>
      <c r="N56" s="603">
        <f t="shared" si="3"/>
        <v>40334.090000000004</v>
      </c>
      <c r="O56" s="608">
        <f>SUM('MTRT 2015'!B56:M56)</f>
        <v>36120.11</v>
      </c>
      <c r="P56" s="638">
        <f t="shared" si="2"/>
        <v>0.11666575766242149</v>
      </c>
      <c r="Q56" s="623">
        <f t="shared" si="4"/>
        <v>4.0056406572155792E-3</v>
      </c>
    </row>
    <row r="57" spans="1:17" s="154" customFormat="1">
      <c r="A57" s="241" t="s">
        <v>205</v>
      </c>
      <c r="B57" s="485">
        <v>2181</v>
      </c>
      <c r="C57" s="485">
        <v>1768.19</v>
      </c>
      <c r="D57" s="485">
        <v>2282.5300000000002</v>
      </c>
      <c r="E57" s="485">
        <v>2102.83</v>
      </c>
      <c r="F57" s="485">
        <v>2639.89</v>
      </c>
      <c r="G57" s="485">
        <v>2426.16</v>
      </c>
      <c r="H57" s="485">
        <v>2514.29</v>
      </c>
      <c r="I57" s="485">
        <v>3191.81</v>
      </c>
      <c r="J57" s="485">
        <v>2694.35</v>
      </c>
      <c r="K57" s="485">
        <v>3398.86</v>
      </c>
      <c r="L57" s="485">
        <v>2690</v>
      </c>
      <c r="M57" s="485">
        <v>2810.83</v>
      </c>
      <c r="N57" s="603">
        <f t="shared" si="3"/>
        <v>30700.739999999998</v>
      </c>
      <c r="O57" s="608">
        <f>SUM('MTRT 2015'!B57:M57)</f>
        <v>31906.629999999997</v>
      </c>
      <c r="P57" s="638">
        <f t="shared" si="2"/>
        <v>-3.7794339295626034E-2</v>
      </c>
      <c r="Q57" s="623">
        <f t="shared" si="4"/>
        <v>3.0489378178757622E-3</v>
      </c>
    </row>
    <row r="58" spans="1:17" s="154" customFormat="1">
      <c r="A58" s="241" t="s">
        <v>357</v>
      </c>
      <c r="B58" s="485">
        <v>20722</v>
      </c>
      <c r="C58" s="485">
        <v>24023.439999999999</v>
      </c>
      <c r="D58" s="485">
        <v>25429.439999999999</v>
      </c>
      <c r="E58" s="485">
        <v>24912.639999999999</v>
      </c>
      <c r="F58" s="485">
        <v>39196.92</v>
      </c>
      <c r="G58" s="485">
        <v>20616.28</v>
      </c>
      <c r="H58" s="485">
        <v>33361.870000000003</v>
      </c>
      <c r="I58" s="485">
        <v>46201.89</v>
      </c>
      <c r="J58" s="485">
        <v>32557.88</v>
      </c>
      <c r="K58" s="485">
        <v>42542.83</v>
      </c>
      <c r="L58" s="485">
        <v>38863.81</v>
      </c>
      <c r="M58" s="485">
        <v>32785.81</v>
      </c>
      <c r="N58" s="603">
        <f t="shared" si="3"/>
        <v>381214.81</v>
      </c>
      <c r="O58" s="606">
        <f>SUM('MTRT 2015'!B58:M58)</f>
        <v>341397.61000000004</v>
      </c>
      <c r="P58" s="638">
        <f t="shared" si="2"/>
        <v>0.11662999046771283</v>
      </c>
      <c r="Q58" s="623">
        <f t="shared" si="4"/>
        <v>3.7859030464520507E-2</v>
      </c>
    </row>
    <row r="59" spans="1:17">
      <c r="A59" s="560" t="s">
        <v>207</v>
      </c>
      <c r="B59" s="460">
        <v>37160</v>
      </c>
      <c r="C59" s="460">
        <v>36920.53</v>
      </c>
      <c r="D59" s="460">
        <v>9589.75</v>
      </c>
      <c r="E59" s="460">
        <v>17108.48</v>
      </c>
      <c r="F59" s="460">
        <v>63428.42</v>
      </c>
      <c r="G59" s="460">
        <v>50611.69</v>
      </c>
      <c r="H59" s="460">
        <v>100136.31</v>
      </c>
      <c r="I59" s="460">
        <v>120978.37</v>
      </c>
      <c r="J59" s="460">
        <v>100693.57</v>
      </c>
      <c r="K59" s="460">
        <v>107443.95</v>
      </c>
      <c r="L59" s="460">
        <v>129301.9</v>
      </c>
      <c r="M59" s="460">
        <v>76571</v>
      </c>
      <c r="N59" s="460">
        <f t="shared" si="3"/>
        <v>849943.97</v>
      </c>
      <c r="O59" s="602">
        <f>SUM('MTRT 2015'!B59:M59)</f>
        <v>674388.6</v>
      </c>
      <c r="P59" s="637">
        <f t="shared" si="2"/>
        <v>0.26031781972589685</v>
      </c>
      <c r="Q59" s="598">
        <f t="shared" si="4"/>
        <v>8.4409245940275782E-2</v>
      </c>
    </row>
    <row r="60" spans="1:17">
      <c r="A60" s="241" t="s">
        <v>208</v>
      </c>
      <c r="B60" s="489">
        <v>492</v>
      </c>
      <c r="C60" s="489">
        <v>2522.96</v>
      </c>
      <c r="D60" s="489">
        <v>372.2</v>
      </c>
      <c r="E60" s="489">
        <v>306.01</v>
      </c>
      <c r="F60" s="489">
        <v>4454.4399999999996</v>
      </c>
      <c r="G60" s="489">
        <v>1517.63</v>
      </c>
      <c r="H60" s="489">
        <v>2661.53</v>
      </c>
      <c r="I60" s="489">
        <v>5390.38</v>
      </c>
      <c r="J60" s="489">
        <v>2202.5700000000002</v>
      </c>
      <c r="K60" s="489">
        <v>5311.1</v>
      </c>
      <c r="L60" s="489">
        <v>3654.96</v>
      </c>
      <c r="M60" s="489">
        <v>1828.47</v>
      </c>
      <c r="N60" s="603">
        <f t="shared" si="3"/>
        <v>30714.25</v>
      </c>
      <c r="O60" s="607">
        <f>SUM('MTRT 2015'!B60:M60)</f>
        <v>27828.660000000003</v>
      </c>
      <c r="P60" s="638">
        <f t="shared" si="2"/>
        <v>0.10369130241987912</v>
      </c>
      <c r="Q60" s="623">
        <f t="shared" si="4"/>
        <v>3.050279516802873E-3</v>
      </c>
    </row>
    <row r="61" spans="1:17" s="154" customFormat="1">
      <c r="A61" s="241" t="s">
        <v>209</v>
      </c>
      <c r="B61" s="489">
        <v>1449.35</v>
      </c>
      <c r="C61" s="489">
        <v>2070.36</v>
      </c>
      <c r="D61" s="489">
        <v>427.07</v>
      </c>
      <c r="E61" s="489">
        <v>1330.25</v>
      </c>
      <c r="F61" s="489">
        <v>2612.37</v>
      </c>
      <c r="G61" s="489">
        <v>1947.49</v>
      </c>
      <c r="H61" s="489">
        <v>5353.71</v>
      </c>
      <c r="I61" s="489">
        <v>3732.91</v>
      </c>
      <c r="J61" s="489">
        <v>4453.28</v>
      </c>
      <c r="K61" s="489">
        <v>2148.9899999999998</v>
      </c>
      <c r="L61" s="489">
        <v>8521.17</v>
      </c>
      <c r="M61" s="489">
        <v>821.74</v>
      </c>
      <c r="N61" s="603">
        <f t="shared" si="3"/>
        <v>34868.689999999995</v>
      </c>
      <c r="O61" s="606">
        <f>SUM('MTRT 2015'!B61:M61)</f>
        <v>29912.379999999997</v>
      </c>
      <c r="P61" s="638">
        <f t="shared" si="2"/>
        <v>0.1656942710676983</v>
      </c>
      <c r="Q61" s="623">
        <f t="shared" si="4"/>
        <v>3.4628633577166675E-3</v>
      </c>
    </row>
    <row r="62" spans="1:17" s="154" customFormat="1">
      <c r="A62" s="560" t="s">
        <v>210</v>
      </c>
      <c r="B62" s="460">
        <v>2595</v>
      </c>
      <c r="C62" s="460">
        <v>12078.39</v>
      </c>
      <c r="D62" s="460">
        <v>3890.26</v>
      </c>
      <c r="E62" s="460">
        <v>6080.63</v>
      </c>
      <c r="F62" s="460">
        <v>12293.74</v>
      </c>
      <c r="G62" s="460">
        <v>2836.48</v>
      </c>
      <c r="H62" s="460">
        <v>7813.4</v>
      </c>
      <c r="I62" s="460">
        <v>18428.38</v>
      </c>
      <c r="J62" s="460">
        <v>10438.629999999999</v>
      </c>
      <c r="K62" s="460">
        <v>4866.1400000000003</v>
      </c>
      <c r="L62" s="460">
        <v>23627.82</v>
      </c>
      <c r="M62" s="460">
        <v>873.41</v>
      </c>
      <c r="N62" s="460">
        <f t="shared" si="3"/>
        <v>105822.28000000003</v>
      </c>
      <c r="O62" s="458">
        <f>SUM('MTRT 2015'!B62:M62)</f>
        <v>108310.65</v>
      </c>
      <c r="P62" s="637">
        <f t="shared" si="2"/>
        <v>-2.2974379712428661E-2</v>
      </c>
      <c r="Q62" s="598">
        <f t="shared" si="4"/>
        <v>1.0509373763167859E-2</v>
      </c>
    </row>
    <row r="63" spans="1:17">
      <c r="A63" s="560" t="s">
        <v>211</v>
      </c>
      <c r="B63" s="460">
        <v>26523</v>
      </c>
      <c r="C63" s="460">
        <v>30062.22</v>
      </c>
      <c r="D63" s="460">
        <v>24340.29</v>
      </c>
      <c r="E63" s="460">
        <v>28012.43</v>
      </c>
      <c r="F63" s="460">
        <v>41179.910000000003</v>
      </c>
      <c r="G63" s="460">
        <v>31129.02</v>
      </c>
      <c r="H63" s="460">
        <v>48852.42</v>
      </c>
      <c r="I63" s="460">
        <v>82356.75</v>
      </c>
      <c r="J63" s="460">
        <v>62490.85</v>
      </c>
      <c r="K63" s="460">
        <v>55231.21</v>
      </c>
      <c r="L63" s="460">
        <v>80053.850000000006</v>
      </c>
      <c r="M63" s="460">
        <v>31664.81</v>
      </c>
      <c r="N63" s="460">
        <f t="shared" si="3"/>
        <v>541896.76</v>
      </c>
      <c r="O63" s="602">
        <f>SUM('MTRT 2015'!B63:M63)</f>
        <v>510893.67</v>
      </c>
      <c r="P63" s="637">
        <f t="shared" si="2"/>
        <v>6.0684036269230024E-2</v>
      </c>
      <c r="Q63" s="598">
        <f t="shared" si="4"/>
        <v>5.3816602627439786E-2</v>
      </c>
    </row>
    <row r="64" spans="1:17">
      <c r="A64" s="241" t="s">
        <v>212</v>
      </c>
      <c r="B64" s="489">
        <v>4396</v>
      </c>
      <c r="C64" s="489">
        <v>4779.32</v>
      </c>
      <c r="D64" s="489">
        <v>4627.1400000000003</v>
      </c>
      <c r="E64" s="489">
        <v>4827.5600000000004</v>
      </c>
      <c r="F64" s="489">
        <v>7666.37</v>
      </c>
      <c r="G64" s="489">
        <v>4714.32</v>
      </c>
      <c r="H64" s="489">
        <v>7742.53</v>
      </c>
      <c r="I64" s="489">
        <v>12878.78</v>
      </c>
      <c r="J64" s="489">
        <v>11355.9</v>
      </c>
      <c r="K64" s="489">
        <v>10559.09</v>
      </c>
      <c r="L64" s="489">
        <v>11869.75</v>
      </c>
      <c r="M64" s="489">
        <v>6296.75</v>
      </c>
      <c r="N64" s="603">
        <f t="shared" si="3"/>
        <v>91713.51</v>
      </c>
      <c r="O64" s="607">
        <f>SUM('MTRT 2015'!B64:M64)</f>
        <v>92547.170000000013</v>
      </c>
      <c r="P64" s="638">
        <f t="shared" si="2"/>
        <v>-9.0079469744998031E-3</v>
      </c>
      <c r="Q64" s="623">
        <f t="shared" si="4"/>
        <v>9.1082100642892287E-3</v>
      </c>
    </row>
    <row r="65" spans="1:17" s="154" customFormat="1">
      <c r="A65" s="241" t="s">
        <v>213</v>
      </c>
      <c r="B65" s="489">
        <v>739</v>
      </c>
      <c r="C65" s="489">
        <v>1794.92</v>
      </c>
      <c r="D65" s="489">
        <v>857.9</v>
      </c>
      <c r="E65" s="489">
        <v>1388.63</v>
      </c>
      <c r="F65" s="489">
        <v>1466.25</v>
      </c>
      <c r="G65" s="489">
        <v>1338.68</v>
      </c>
      <c r="H65" s="489">
        <v>1774.41</v>
      </c>
      <c r="I65" s="489">
        <v>3557.12</v>
      </c>
      <c r="J65" s="489">
        <v>1803.17</v>
      </c>
      <c r="K65" s="489">
        <v>1810.82</v>
      </c>
      <c r="L65" s="489">
        <v>3665.43</v>
      </c>
      <c r="M65" s="489">
        <v>852.02</v>
      </c>
      <c r="N65" s="603">
        <f t="shared" si="3"/>
        <v>21048.350000000002</v>
      </c>
      <c r="O65" s="606">
        <f>SUM('MTRT 2015'!B65:M65)</f>
        <v>18363.760000000002</v>
      </c>
      <c r="P65" s="638">
        <f t="shared" si="2"/>
        <v>0.14618956030791086</v>
      </c>
      <c r="Q65" s="623">
        <f t="shared" si="4"/>
        <v>2.0903440867837486E-3</v>
      </c>
    </row>
    <row r="66" spans="1:17" s="154" customFormat="1">
      <c r="A66" s="560" t="s">
        <v>214</v>
      </c>
      <c r="B66" s="460">
        <v>454070</v>
      </c>
      <c r="C66" s="460">
        <v>1337653.0900000001</v>
      </c>
      <c r="D66" s="460">
        <v>1418824.72</v>
      </c>
      <c r="E66" s="460">
        <v>1359271.17</v>
      </c>
      <c r="F66" s="460">
        <v>1661461.51</v>
      </c>
      <c r="G66" s="460">
        <v>199504.25</v>
      </c>
      <c r="H66" s="460">
        <v>177552.24</v>
      </c>
      <c r="I66" s="460">
        <v>429287.37</v>
      </c>
      <c r="J66" s="460">
        <v>479843.82</v>
      </c>
      <c r="K66" s="460">
        <v>480534.05</v>
      </c>
      <c r="L66" s="460">
        <v>444526.67</v>
      </c>
      <c r="M66" s="460">
        <v>218563.12</v>
      </c>
      <c r="N66" s="460">
        <f t="shared" si="3"/>
        <v>8661092.0099999998</v>
      </c>
      <c r="O66" s="458">
        <f>SUM('MTRT 2015'!B66:M66)</f>
        <v>7716012.4900000002</v>
      </c>
      <c r="P66" s="637">
        <f t="shared" si="2"/>
        <v>0.12248289141895885</v>
      </c>
      <c r="Q66" s="598">
        <f t="shared" si="4"/>
        <v>0.86014639951319083</v>
      </c>
    </row>
    <row r="67" spans="1:17">
      <c r="A67" s="560" t="s">
        <v>215</v>
      </c>
      <c r="B67" s="460">
        <v>13478</v>
      </c>
      <c r="C67" s="460">
        <v>25007.52</v>
      </c>
      <c r="D67" s="460">
        <v>21754.2</v>
      </c>
      <c r="E67" s="460">
        <v>21549.47</v>
      </c>
      <c r="F67" s="460">
        <v>33414.31</v>
      </c>
      <c r="G67" s="460">
        <v>22743.53</v>
      </c>
      <c r="H67" s="460">
        <v>36007.370000000003</v>
      </c>
      <c r="I67" s="460">
        <v>47963.41</v>
      </c>
      <c r="J67" s="460">
        <v>37157.32</v>
      </c>
      <c r="K67" s="460">
        <v>52387.15</v>
      </c>
      <c r="L67" s="460">
        <v>53166.76</v>
      </c>
      <c r="M67" s="460">
        <v>32006.91</v>
      </c>
      <c r="N67" s="460">
        <f t="shared" si="3"/>
        <v>396635.95</v>
      </c>
      <c r="O67" s="458">
        <f>SUM('MTRT 2015'!B67:M67)</f>
        <v>377721.89</v>
      </c>
      <c r="P67" s="637">
        <f t="shared" si="2"/>
        <v>5.0074037276473415E-2</v>
      </c>
      <c r="Q67" s="598">
        <f t="shared" si="4"/>
        <v>3.9390527651257917E-2</v>
      </c>
    </row>
    <row r="68" spans="1:17" s="154" customFormat="1">
      <c r="A68" s="241" t="s">
        <v>216</v>
      </c>
      <c r="B68" s="489">
        <v>1254</v>
      </c>
      <c r="C68" s="489">
        <v>2361.0500000000002</v>
      </c>
      <c r="D68" s="489">
        <v>2833.9</v>
      </c>
      <c r="E68" s="489">
        <v>1880.14</v>
      </c>
      <c r="F68" s="489">
        <v>2287.41</v>
      </c>
      <c r="G68" s="489">
        <v>2759.92</v>
      </c>
      <c r="H68" s="489">
        <v>4052.52</v>
      </c>
      <c r="I68" s="489">
        <v>4276.32</v>
      </c>
      <c r="J68" s="489">
        <v>3715.89</v>
      </c>
      <c r="K68" s="489">
        <v>4933.91</v>
      </c>
      <c r="L68" s="489">
        <v>4827.05</v>
      </c>
      <c r="M68" s="489">
        <v>3779.07</v>
      </c>
      <c r="N68" s="487">
        <f t="shared" ref="N68:N100" si="5">SUM(B68:M68)</f>
        <v>38961.18</v>
      </c>
      <c r="O68" s="607">
        <f>SUM('MTRT 2015'!B68:M68)</f>
        <v>41046.94</v>
      </c>
      <c r="P68" s="636">
        <f t="shared" si="2"/>
        <v>-5.0814019266722465E-2</v>
      </c>
      <c r="Q68" s="566">
        <f t="shared" ref="Q68:Q103" si="6">N68/$N$103</f>
        <v>3.8692948486279089E-3</v>
      </c>
    </row>
    <row r="69" spans="1:17">
      <c r="A69" s="560" t="s">
        <v>217</v>
      </c>
      <c r="B69" s="460">
        <v>33111</v>
      </c>
      <c r="C69" s="460">
        <v>30636.89</v>
      </c>
      <c r="D69" s="460">
        <v>28795.93</v>
      </c>
      <c r="E69" s="460">
        <v>18568.009999999998</v>
      </c>
      <c r="F69" s="460">
        <v>35414.339999999997</v>
      </c>
      <c r="G69" s="460">
        <v>34678.94</v>
      </c>
      <c r="H69" s="460">
        <v>50943.19</v>
      </c>
      <c r="I69" s="460">
        <v>70323.09</v>
      </c>
      <c r="J69" s="460">
        <v>54497.61</v>
      </c>
      <c r="K69" s="460">
        <v>49568.69</v>
      </c>
      <c r="L69" s="460">
        <v>65499.34</v>
      </c>
      <c r="M69" s="460">
        <v>36490.699999999997</v>
      </c>
      <c r="N69" s="460">
        <f t="shared" si="5"/>
        <v>508527.73000000004</v>
      </c>
      <c r="O69" s="602">
        <f>SUM('MTRT 2015'!B69:M69)</f>
        <v>624462.05000000005</v>
      </c>
      <c r="P69" s="637">
        <f t="shared" si="2"/>
        <v>-0.18565470872089029</v>
      </c>
      <c r="Q69" s="598">
        <f t="shared" si="6"/>
        <v>5.050267281620948E-2</v>
      </c>
    </row>
    <row r="70" spans="1:17">
      <c r="A70" s="241" t="s">
        <v>218</v>
      </c>
      <c r="B70" s="489">
        <v>1029</v>
      </c>
      <c r="C70" s="489">
        <v>993.24</v>
      </c>
      <c r="D70" s="489">
        <v>963.09</v>
      </c>
      <c r="E70" s="489">
        <v>118.68</v>
      </c>
      <c r="F70" s="489">
        <v>594.80999999999995</v>
      </c>
      <c r="G70" s="489">
        <v>1518.11</v>
      </c>
      <c r="H70" s="489">
        <v>1821.62</v>
      </c>
      <c r="I70" s="489">
        <v>2372.6799999999998</v>
      </c>
      <c r="J70" s="489">
        <v>1449.12</v>
      </c>
      <c r="K70" s="489">
        <v>239.76</v>
      </c>
      <c r="L70" s="489">
        <v>1099.03</v>
      </c>
      <c r="M70" s="489">
        <v>174.36</v>
      </c>
      <c r="N70" s="603">
        <f t="shared" si="5"/>
        <v>12373.5</v>
      </c>
      <c r="O70" s="607">
        <f>SUM('MTRT 2015'!B70:M70)</f>
        <v>8013.01</v>
      </c>
      <c r="P70" s="638">
        <f t="shared" si="2"/>
        <v>0.54417628331925205</v>
      </c>
      <c r="Q70" s="623">
        <f t="shared" si="6"/>
        <v>1.228831360074244E-3</v>
      </c>
    </row>
    <row r="71" spans="1:17">
      <c r="A71" s="241" t="s">
        <v>219</v>
      </c>
      <c r="B71" s="489">
        <v>4931</v>
      </c>
      <c r="C71" s="489">
        <v>5010.67</v>
      </c>
      <c r="D71" s="489">
        <v>4696.3</v>
      </c>
      <c r="E71" s="489">
        <v>3197.01</v>
      </c>
      <c r="F71" s="489">
        <v>6118.99</v>
      </c>
      <c r="G71" s="489">
        <v>5254.34</v>
      </c>
      <c r="H71" s="489">
        <v>8521.08</v>
      </c>
      <c r="I71" s="489">
        <v>12200.44</v>
      </c>
      <c r="J71" s="489">
        <v>9000.3700000000008</v>
      </c>
      <c r="K71" s="489">
        <v>9399.09</v>
      </c>
      <c r="L71" s="489">
        <v>12148.84</v>
      </c>
      <c r="M71" s="489">
        <v>5982.92</v>
      </c>
      <c r="N71" s="603">
        <f t="shared" si="5"/>
        <v>86461.05</v>
      </c>
      <c r="O71" s="608">
        <f>SUM('MTRT 2015'!B71:M71)</f>
        <v>112456.55999999998</v>
      </c>
      <c r="P71" s="638">
        <f t="shared" ref="P71:P102" si="7">N71/O71-1</f>
        <v>-0.23116045875847513</v>
      </c>
      <c r="Q71" s="623">
        <f t="shared" si="6"/>
        <v>8.5865801644601138E-3</v>
      </c>
    </row>
    <row r="72" spans="1:17" s="154" customFormat="1">
      <c r="A72" s="241" t="s">
        <v>220</v>
      </c>
      <c r="B72" s="491">
        <v>1801</v>
      </c>
      <c r="C72" s="489">
        <v>1217.3900000000001</v>
      </c>
      <c r="D72" s="489">
        <v>1087.73</v>
      </c>
      <c r="E72" s="489">
        <v>1065.83</v>
      </c>
      <c r="F72" s="489">
        <v>1529.73</v>
      </c>
      <c r="G72" s="489">
        <v>1268.72</v>
      </c>
      <c r="H72" s="489">
        <v>1643.97</v>
      </c>
      <c r="I72" s="489">
        <v>1759.47</v>
      </c>
      <c r="J72" s="489">
        <v>2081.5300000000002</v>
      </c>
      <c r="K72" s="489">
        <v>2024.37</v>
      </c>
      <c r="L72" s="489">
        <v>2009.65</v>
      </c>
      <c r="M72" s="489">
        <v>2397.91</v>
      </c>
      <c r="N72" s="603">
        <f t="shared" si="5"/>
        <v>19887.300000000003</v>
      </c>
      <c r="O72" s="606">
        <f>SUM('MTRT 2015'!B72:M72)</f>
        <v>25519.61</v>
      </c>
      <c r="P72" s="638">
        <f t="shared" si="7"/>
        <v>-0.22070517535338496</v>
      </c>
      <c r="Q72" s="623">
        <f t="shared" si="6"/>
        <v>1.9750384214009386E-3</v>
      </c>
    </row>
    <row r="73" spans="1:17">
      <c r="A73" s="560" t="s">
        <v>221</v>
      </c>
      <c r="B73" s="460">
        <v>189068</v>
      </c>
      <c r="C73" s="460">
        <v>183974.97</v>
      </c>
      <c r="D73" s="460">
        <v>198657.24</v>
      </c>
      <c r="E73" s="460">
        <v>203940.1</v>
      </c>
      <c r="F73" s="460">
        <v>287731.15999999997</v>
      </c>
      <c r="G73" s="460">
        <v>261162.42</v>
      </c>
      <c r="H73" s="460">
        <v>272136.13</v>
      </c>
      <c r="I73" s="460">
        <v>328017.02</v>
      </c>
      <c r="J73" s="460">
        <v>340676.16</v>
      </c>
      <c r="K73" s="460">
        <v>386528.12</v>
      </c>
      <c r="L73" s="460">
        <v>338290.89</v>
      </c>
      <c r="M73" s="460">
        <v>255139.46</v>
      </c>
      <c r="N73" s="460">
        <f t="shared" si="5"/>
        <v>3245321.6700000004</v>
      </c>
      <c r="O73" s="602">
        <f>SUM('MTRT 2015'!B73:M73)</f>
        <v>2921312.36</v>
      </c>
      <c r="P73" s="637">
        <f t="shared" si="7"/>
        <v>0.1109122442490198</v>
      </c>
      <c r="Q73" s="598">
        <f t="shared" si="6"/>
        <v>0.32229789805831149</v>
      </c>
    </row>
    <row r="74" spans="1:17">
      <c r="A74" s="241" t="s">
        <v>222</v>
      </c>
      <c r="B74" s="489">
        <v>8542</v>
      </c>
      <c r="C74" s="489">
        <v>6124.97</v>
      </c>
      <c r="D74" s="489">
        <v>11129.15</v>
      </c>
      <c r="E74" s="489">
        <v>9042.2099999999991</v>
      </c>
      <c r="F74" s="489">
        <v>18123.16</v>
      </c>
      <c r="G74" s="489">
        <v>12688.26</v>
      </c>
      <c r="H74" s="489">
        <v>14333.68</v>
      </c>
      <c r="I74" s="489">
        <v>13144.27</v>
      </c>
      <c r="J74" s="489">
        <v>13825.6</v>
      </c>
      <c r="K74" s="489">
        <v>22439.82</v>
      </c>
      <c r="L74" s="489">
        <v>14836.54</v>
      </c>
      <c r="M74" s="489">
        <v>13572.77</v>
      </c>
      <c r="N74" s="603">
        <f t="shared" si="5"/>
        <v>157802.43</v>
      </c>
      <c r="O74" s="607">
        <f>SUM('MTRT 2015'!B74:M74)</f>
        <v>145428.81</v>
      </c>
      <c r="P74" s="638">
        <f t="shared" si="7"/>
        <v>8.508369146388528E-2</v>
      </c>
      <c r="Q74" s="623">
        <f t="shared" si="6"/>
        <v>1.5671602592631079E-2</v>
      </c>
    </row>
    <row r="75" spans="1:17">
      <c r="A75" s="241" t="s">
        <v>223</v>
      </c>
      <c r="B75" s="489">
        <v>0</v>
      </c>
      <c r="C75" s="489">
        <v>0</v>
      </c>
      <c r="D75" s="489">
        <v>111.32</v>
      </c>
      <c r="E75" s="489">
        <v>0</v>
      </c>
      <c r="F75" s="489">
        <v>0</v>
      </c>
      <c r="G75" s="489">
        <v>0</v>
      </c>
      <c r="H75" s="489">
        <v>0</v>
      </c>
      <c r="I75" s="489">
        <v>0</v>
      </c>
      <c r="J75" s="489">
        <v>0</v>
      </c>
      <c r="K75" s="489">
        <v>0</v>
      </c>
      <c r="L75" s="489">
        <v>68.47</v>
      </c>
      <c r="M75" s="489">
        <v>0</v>
      </c>
      <c r="N75" s="603">
        <f t="shared" si="5"/>
        <v>179.79</v>
      </c>
      <c r="O75" s="608">
        <f>SUM('MTRT 2015'!B75:M75)</f>
        <v>0</v>
      </c>
      <c r="P75" s="638" t="e">
        <f t="shared" si="7"/>
        <v>#DIV/0!</v>
      </c>
      <c r="Q75" s="623">
        <f t="shared" si="6"/>
        <v>1.7855222065522957E-5</v>
      </c>
    </row>
    <row r="76" spans="1:17">
      <c r="A76" s="241" t="s">
        <v>224</v>
      </c>
      <c r="B76" s="489">
        <v>8364</v>
      </c>
      <c r="C76" s="489">
        <v>6692.96</v>
      </c>
      <c r="D76" s="489">
        <v>8536.1</v>
      </c>
      <c r="E76" s="489">
        <v>10025.620000000001</v>
      </c>
      <c r="F76" s="489">
        <v>11530</v>
      </c>
      <c r="G76" s="489">
        <v>13396.61</v>
      </c>
      <c r="H76" s="489">
        <v>13668.03</v>
      </c>
      <c r="I76" s="489">
        <v>13667.64</v>
      </c>
      <c r="J76" s="489">
        <v>15563.53</v>
      </c>
      <c r="K76" s="489">
        <v>18481.27</v>
      </c>
      <c r="L76" s="489">
        <v>12993.27</v>
      </c>
      <c r="M76" s="489">
        <v>11379.52</v>
      </c>
      <c r="N76" s="603">
        <f t="shared" si="5"/>
        <v>144298.54999999999</v>
      </c>
      <c r="O76" s="608">
        <f>SUM('MTRT 2015'!B76:M76)</f>
        <v>124904.87</v>
      </c>
      <c r="P76" s="638">
        <f t="shared" si="7"/>
        <v>0.15526760485800106</v>
      </c>
      <c r="Q76" s="623">
        <f t="shared" si="6"/>
        <v>1.4330511452155113E-2</v>
      </c>
    </row>
    <row r="77" spans="1:17">
      <c r="A77" s="241" t="s">
        <v>225</v>
      </c>
      <c r="B77" s="489">
        <v>501</v>
      </c>
      <c r="C77" s="489">
        <v>472.62</v>
      </c>
      <c r="D77" s="489">
        <v>542.27</v>
      </c>
      <c r="E77" s="489">
        <v>542.38</v>
      </c>
      <c r="F77" s="489">
        <v>696.14</v>
      </c>
      <c r="G77" s="489">
        <v>1063.53</v>
      </c>
      <c r="H77" s="489">
        <v>1012.14</v>
      </c>
      <c r="I77" s="489">
        <v>1091.48</v>
      </c>
      <c r="J77" s="489">
        <v>1237.7</v>
      </c>
      <c r="K77" s="489">
        <v>1231.81</v>
      </c>
      <c r="L77" s="489">
        <v>1254.76</v>
      </c>
      <c r="M77" s="489">
        <v>932.17</v>
      </c>
      <c r="N77" s="603">
        <f t="shared" si="5"/>
        <v>10578</v>
      </c>
      <c r="O77" s="608">
        <f>SUM('MTRT 2015'!B77:M77)</f>
        <v>9007.0199999999986</v>
      </c>
      <c r="P77" s="638">
        <f t="shared" si="7"/>
        <v>0.1744172878488115</v>
      </c>
      <c r="Q77" s="623">
        <f t="shared" si="6"/>
        <v>1.0505174871188712E-3</v>
      </c>
    </row>
    <row r="78" spans="1:17">
      <c r="A78" s="241" t="s">
        <v>226</v>
      </c>
      <c r="B78" s="489">
        <v>25172</v>
      </c>
      <c r="C78" s="489">
        <v>23385.53</v>
      </c>
      <c r="D78" s="489">
        <v>25170.77</v>
      </c>
      <c r="E78" s="489">
        <v>26544.74</v>
      </c>
      <c r="F78" s="489">
        <v>38351.370000000003</v>
      </c>
      <c r="G78" s="489">
        <v>35650.04</v>
      </c>
      <c r="H78" s="489">
        <v>37326.94</v>
      </c>
      <c r="I78" s="489">
        <v>47221.21</v>
      </c>
      <c r="J78" s="489">
        <v>38828.36</v>
      </c>
      <c r="K78" s="489">
        <v>48102.350000000006</v>
      </c>
      <c r="L78" s="489">
        <v>45955.96</v>
      </c>
      <c r="M78" s="489">
        <v>36485.71</v>
      </c>
      <c r="N78" s="603">
        <f t="shared" si="5"/>
        <v>428194.9800000001</v>
      </c>
      <c r="O78" s="608">
        <f>SUM('MTRT 2015'!B78:M78)</f>
        <v>397424.87</v>
      </c>
      <c r="P78" s="638">
        <f t="shared" si="7"/>
        <v>7.7423715330145582E-2</v>
      </c>
      <c r="Q78" s="623">
        <f t="shared" si="6"/>
        <v>4.2524703572179565E-2</v>
      </c>
    </row>
    <row r="79" spans="1:17" s="154" customFormat="1">
      <c r="A79" s="241" t="s">
        <v>227</v>
      </c>
      <c r="B79" s="489">
        <v>3692</v>
      </c>
      <c r="C79" s="489">
        <v>4022.2</v>
      </c>
      <c r="D79" s="489">
        <v>3488.57</v>
      </c>
      <c r="E79" s="489">
        <v>4305.8500000000004</v>
      </c>
      <c r="F79" s="489">
        <v>3793.07</v>
      </c>
      <c r="G79" s="489">
        <v>6719.64</v>
      </c>
      <c r="H79" s="489">
        <v>5217.43</v>
      </c>
      <c r="I79" s="489">
        <v>11108.039999999999</v>
      </c>
      <c r="J79" s="489">
        <v>10954.66</v>
      </c>
      <c r="K79" s="489">
        <v>8714.19</v>
      </c>
      <c r="L79" s="489">
        <v>8148.16</v>
      </c>
      <c r="M79" s="489">
        <v>4204.1100000000006</v>
      </c>
      <c r="N79" s="603">
        <f t="shared" si="5"/>
        <v>74367.920000000013</v>
      </c>
      <c r="O79" s="606">
        <f>SUM('MTRT 2015'!B79:M79)</f>
        <v>61938.409999999996</v>
      </c>
      <c r="P79" s="638">
        <f t="shared" si="7"/>
        <v>0.20067531601150268</v>
      </c>
      <c r="Q79" s="623">
        <f t="shared" si="6"/>
        <v>7.3855927813062262E-3</v>
      </c>
    </row>
    <row r="80" spans="1:17">
      <c r="A80" s="560" t="s">
        <v>228</v>
      </c>
      <c r="B80" s="460">
        <v>37252</v>
      </c>
      <c r="C80" s="460">
        <v>204651.75</v>
      </c>
      <c r="D80" s="460">
        <v>409257.35</v>
      </c>
      <c r="E80" s="460">
        <v>63702.080000000002</v>
      </c>
      <c r="F80" s="460">
        <v>252911.96</v>
      </c>
      <c r="G80" s="460">
        <v>38692.629999999997</v>
      </c>
      <c r="H80" s="460">
        <v>87227.75</v>
      </c>
      <c r="I80" s="460">
        <v>162920.24</v>
      </c>
      <c r="J80" s="460">
        <v>136056.51</v>
      </c>
      <c r="K80" s="460">
        <v>129062.61</v>
      </c>
      <c r="L80" s="460">
        <v>200928.24</v>
      </c>
      <c r="M80" s="460">
        <v>58211.86</v>
      </c>
      <c r="N80" s="460">
        <f t="shared" si="5"/>
        <v>1780874.9800000002</v>
      </c>
      <c r="O80" s="602">
        <f>SUM('MTRT 2015'!B80:M80)</f>
        <v>1477223.41</v>
      </c>
      <c r="P80" s="637">
        <f t="shared" si="7"/>
        <v>0.20555561734565275</v>
      </c>
      <c r="Q80" s="598">
        <f t="shared" si="6"/>
        <v>0.17686143967313955</v>
      </c>
    </row>
    <row r="81" spans="1:17">
      <c r="A81" s="241" t="s">
        <v>229</v>
      </c>
      <c r="B81" s="489">
        <v>1864</v>
      </c>
      <c r="C81" s="489">
        <v>6233.42</v>
      </c>
      <c r="D81" s="489">
        <v>7700.27</v>
      </c>
      <c r="E81" s="489">
        <v>1231.0899999999999</v>
      </c>
      <c r="F81" s="489">
        <v>4714.7</v>
      </c>
      <c r="G81" s="489">
        <v>585.11</v>
      </c>
      <c r="H81" s="489">
        <v>3010.94</v>
      </c>
      <c r="I81" s="489">
        <v>6140.76</v>
      </c>
      <c r="J81" s="489">
        <v>3740.88</v>
      </c>
      <c r="K81" s="489">
        <v>3338.21</v>
      </c>
      <c r="L81" s="489">
        <v>8473.9699999999993</v>
      </c>
      <c r="M81" s="489">
        <v>2072.2199999999998</v>
      </c>
      <c r="N81" s="603">
        <f t="shared" si="5"/>
        <v>49105.57</v>
      </c>
      <c r="O81" s="607">
        <f>SUM('MTRT 2015'!B81:M81)</f>
        <v>44154.06</v>
      </c>
      <c r="P81" s="638">
        <f t="shared" si="7"/>
        <v>0.11214166941839565</v>
      </c>
      <c r="Q81" s="623">
        <f t="shared" si="6"/>
        <v>4.8767498581905678E-3</v>
      </c>
    </row>
    <row r="82" spans="1:17" s="154" customFormat="1">
      <c r="A82" s="241" t="s">
        <v>230</v>
      </c>
      <c r="B82" s="485">
        <v>1146</v>
      </c>
      <c r="C82" s="485">
        <v>3808.42</v>
      </c>
      <c r="D82" s="485">
        <v>5110.72</v>
      </c>
      <c r="E82" s="485">
        <v>1966.84</v>
      </c>
      <c r="F82" s="485">
        <v>11600.96</v>
      </c>
      <c r="G82" s="485">
        <v>2079.5</v>
      </c>
      <c r="H82" s="485">
        <v>12364.63</v>
      </c>
      <c r="I82" s="485">
        <v>16016.81</v>
      </c>
      <c r="J82" s="485">
        <v>8090.37</v>
      </c>
      <c r="K82" s="485">
        <v>9270.33</v>
      </c>
      <c r="L82" s="485">
        <v>22663.64</v>
      </c>
      <c r="M82" s="485">
        <v>3910.92</v>
      </c>
      <c r="N82" s="603">
        <f t="shared" si="5"/>
        <v>98029.14</v>
      </c>
      <c r="O82" s="606">
        <f>SUM('MTRT 2015'!B82:M82)</f>
        <v>63023.840000000011</v>
      </c>
      <c r="P82" s="638">
        <f t="shared" si="7"/>
        <v>0.55542950096344468</v>
      </c>
      <c r="Q82" s="623">
        <f t="shared" si="6"/>
        <v>9.7354250158086623E-3</v>
      </c>
    </row>
    <row r="83" spans="1:17">
      <c r="A83" s="560" t="s">
        <v>231</v>
      </c>
      <c r="B83" s="460">
        <v>329215</v>
      </c>
      <c r="C83" s="460">
        <v>378747.38</v>
      </c>
      <c r="D83" s="460">
        <v>250572.94</v>
      </c>
      <c r="E83" s="460">
        <v>345569.11</v>
      </c>
      <c r="F83" s="460">
        <v>786784.08</v>
      </c>
      <c r="G83" s="460">
        <v>577666.59</v>
      </c>
      <c r="H83" s="460">
        <v>593335.28</v>
      </c>
      <c r="I83" s="460">
        <v>768158.43</v>
      </c>
      <c r="J83" s="460">
        <v>586296.29</v>
      </c>
      <c r="K83" s="460">
        <v>646271.38</v>
      </c>
      <c r="L83" s="460">
        <v>866713.16</v>
      </c>
      <c r="M83" s="460">
        <v>643844.73</v>
      </c>
      <c r="N83" s="460">
        <f t="shared" si="5"/>
        <v>6773174.3699999992</v>
      </c>
      <c r="O83" s="602">
        <f>SUM('MTRT 2015'!B83:M83)</f>
        <v>5620812.3999999994</v>
      </c>
      <c r="P83" s="637">
        <f t="shared" si="7"/>
        <v>0.20501697761697213</v>
      </c>
      <c r="Q83" s="598">
        <f t="shared" si="6"/>
        <v>0.67265438825773705</v>
      </c>
    </row>
    <row r="84" spans="1:17">
      <c r="A84" s="241" t="s">
        <v>232</v>
      </c>
      <c r="B84" s="485">
        <v>3529</v>
      </c>
      <c r="C84" s="485">
        <v>3834.14</v>
      </c>
      <c r="D84" s="485">
        <v>2288.36</v>
      </c>
      <c r="E84" s="485">
        <v>2739.58</v>
      </c>
      <c r="F84" s="485">
        <v>12226.46</v>
      </c>
      <c r="G84" s="485">
        <v>10048.86</v>
      </c>
      <c r="H84" s="485">
        <v>6542.47</v>
      </c>
      <c r="I84" s="485">
        <v>14939.44</v>
      </c>
      <c r="J84" s="485">
        <v>11122.94</v>
      </c>
      <c r="K84" s="485">
        <v>9801.92</v>
      </c>
      <c r="L84" s="485">
        <v>14475.03</v>
      </c>
      <c r="M84" s="485">
        <v>9993.5400000000009</v>
      </c>
      <c r="N84" s="603">
        <f t="shared" si="5"/>
        <v>101541.73999999999</v>
      </c>
      <c r="O84" s="607">
        <f>SUM('MTRT 2015'!B84:M84)</f>
        <v>78824</v>
      </c>
      <c r="P84" s="638">
        <f t="shared" si="7"/>
        <v>0.28820841368111227</v>
      </c>
      <c r="Q84" s="623">
        <f t="shared" si="6"/>
        <v>1.0084266736857417E-2</v>
      </c>
    </row>
    <row r="85" spans="1:17">
      <c r="A85" s="241" t="s">
        <v>233</v>
      </c>
      <c r="B85" s="489">
        <v>9112</v>
      </c>
      <c r="C85" s="489">
        <v>6045.76</v>
      </c>
      <c r="D85" s="489">
        <v>4595.95</v>
      </c>
      <c r="E85" s="489">
        <v>6683.12</v>
      </c>
      <c r="F85" s="489">
        <v>12337.41</v>
      </c>
      <c r="G85" s="489">
        <v>14497.32</v>
      </c>
      <c r="H85" s="489">
        <v>13826.5</v>
      </c>
      <c r="I85" s="489">
        <v>8945.1</v>
      </c>
      <c r="J85" s="489">
        <v>8057.2</v>
      </c>
      <c r="K85" s="489">
        <v>7182.84</v>
      </c>
      <c r="L85" s="489">
        <v>12369.05</v>
      </c>
      <c r="M85" s="489">
        <v>16796.07</v>
      </c>
      <c r="N85" s="603">
        <f t="shared" si="5"/>
        <v>120448.32000000001</v>
      </c>
      <c r="O85" s="608">
        <f>SUM('MTRT 2015'!B85:M85)</f>
        <v>106357.02999999998</v>
      </c>
      <c r="P85" s="638">
        <f t="shared" si="7"/>
        <v>0.13249044280382805</v>
      </c>
      <c r="Q85" s="623">
        <f t="shared" si="6"/>
        <v>1.1961908343173538E-2</v>
      </c>
    </row>
    <row r="86" spans="1:17">
      <c r="A86" s="241" t="s">
        <v>234</v>
      </c>
      <c r="B86" s="489">
        <v>650</v>
      </c>
      <c r="C86" s="489">
        <v>4823.84</v>
      </c>
      <c r="D86" s="489">
        <v>0</v>
      </c>
      <c r="E86" s="489">
        <v>124.43</v>
      </c>
      <c r="F86" s="489">
        <v>3543.94</v>
      </c>
      <c r="G86" s="489">
        <v>6.37</v>
      </c>
      <c r="H86" s="489">
        <v>182.58</v>
      </c>
      <c r="I86" s="489">
        <v>7447.01</v>
      </c>
      <c r="J86" s="489">
        <v>2492.6</v>
      </c>
      <c r="K86" s="489">
        <v>2300.12</v>
      </c>
      <c r="L86" s="489">
        <v>3820.92</v>
      </c>
      <c r="M86" s="489">
        <v>2584.91</v>
      </c>
      <c r="N86" s="603">
        <f t="shared" si="5"/>
        <v>27976.719999999998</v>
      </c>
      <c r="O86" s="608">
        <f>SUM('MTRT 2015'!B86:M86)</f>
        <v>15121.26</v>
      </c>
      <c r="P86" s="638">
        <f t="shared" si="7"/>
        <v>0.85015798947971244</v>
      </c>
      <c r="Q86" s="623">
        <f t="shared" si="6"/>
        <v>2.7784111923074553E-3</v>
      </c>
    </row>
    <row r="87" spans="1:17">
      <c r="A87" s="241" t="s">
        <v>235</v>
      </c>
      <c r="B87" s="489">
        <v>132</v>
      </c>
      <c r="C87" s="489">
        <v>70.7</v>
      </c>
      <c r="D87" s="489">
        <v>0</v>
      </c>
      <c r="E87" s="489">
        <v>39.409999999999997</v>
      </c>
      <c r="F87" s="489">
        <v>108.52</v>
      </c>
      <c r="G87" s="489">
        <v>0</v>
      </c>
      <c r="H87" s="489">
        <v>160.16</v>
      </c>
      <c r="I87" s="489">
        <v>472.17</v>
      </c>
      <c r="J87" s="489">
        <v>0</v>
      </c>
      <c r="K87" s="489">
        <v>0</v>
      </c>
      <c r="L87" s="489">
        <v>447.34</v>
      </c>
      <c r="M87" s="489">
        <v>0</v>
      </c>
      <c r="N87" s="603">
        <f t="shared" si="5"/>
        <v>1430.3</v>
      </c>
      <c r="O87" s="608">
        <f>SUM('MTRT 2015'!B87:M87)</f>
        <v>1899.94</v>
      </c>
      <c r="P87" s="638">
        <f t="shared" si="7"/>
        <v>-0.24718675326589268</v>
      </c>
      <c r="Q87" s="623">
        <f t="shared" si="6"/>
        <v>1.4204529796049551E-4</v>
      </c>
    </row>
    <row r="88" spans="1:17">
      <c r="A88" s="241" t="s">
        <v>236</v>
      </c>
      <c r="B88" s="485">
        <v>39043</v>
      </c>
      <c r="C88" s="485">
        <v>49561.41</v>
      </c>
      <c r="D88" s="485">
        <v>40270.910000000003</v>
      </c>
      <c r="E88" s="485">
        <v>51116.7</v>
      </c>
      <c r="F88" s="485">
        <v>94849.32</v>
      </c>
      <c r="G88" s="485">
        <v>52604.02</v>
      </c>
      <c r="H88" s="485">
        <v>53217.599999999999</v>
      </c>
      <c r="I88" s="485">
        <v>70637.86</v>
      </c>
      <c r="J88" s="485">
        <v>60093.69</v>
      </c>
      <c r="K88" s="485">
        <v>56358.07</v>
      </c>
      <c r="L88" s="485">
        <v>81978.77</v>
      </c>
      <c r="M88" s="485">
        <v>73818.14</v>
      </c>
      <c r="N88" s="603">
        <f t="shared" si="5"/>
        <v>723549.49</v>
      </c>
      <c r="O88" s="608">
        <f>SUM('MTRT 2015'!B88:M88)</f>
        <v>578772.96</v>
      </c>
      <c r="P88" s="638">
        <f t="shared" si="7"/>
        <v>0.25014390789783958</v>
      </c>
      <c r="Q88" s="623">
        <f t="shared" si="6"/>
        <v>7.1856815280860353E-2</v>
      </c>
    </row>
    <row r="89" spans="1:17">
      <c r="A89" s="241" t="s">
        <v>237</v>
      </c>
      <c r="B89" s="485">
        <v>316</v>
      </c>
      <c r="C89" s="485">
        <v>1953.42</v>
      </c>
      <c r="D89" s="485">
        <v>409.17</v>
      </c>
      <c r="E89" s="485">
        <v>307.64999999999998</v>
      </c>
      <c r="F89" s="485">
        <v>1975.72</v>
      </c>
      <c r="G89" s="485">
        <v>1101.6600000000001</v>
      </c>
      <c r="H89" s="485">
        <v>594.26</v>
      </c>
      <c r="I89" s="485">
        <v>2750.15</v>
      </c>
      <c r="J89" s="485">
        <v>1325.57</v>
      </c>
      <c r="K89" s="485">
        <v>785.88</v>
      </c>
      <c r="L89" s="485">
        <v>1490.5</v>
      </c>
      <c r="M89" s="485">
        <v>1797.25</v>
      </c>
      <c r="N89" s="603">
        <f t="shared" si="5"/>
        <v>14807.23</v>
      </c>
      <c r="O89" s="608">
        <f>SUM('MTRT 2015'!B89:M89)</f>
        <v>6732.9999999999991</v>
      </c>
      <c r="P89" s="638">
        <f t="shared" si="7"/>
        <v>1.1992024357641471</v>
      </c>
      <c r="Q89" s="623">
        <f t="shared" si="6"/>
        <v>1.4705288382294538E-3</v>
      </c>
    </row>
    <row r="90" spans="1:17">
      <c r="A90" s="241" t="s">
        <v>238</v>
      </c>
      <c r="B90" s="485">
        <v>16588</v>
      </c>
      <c r="C90" s="485">
        <v>10825.05</v>
      </c>
      <c r="D90" s="485">
        <v>5420.37</v>
      </c>
      <c r="E90" s="485">
        <v>12031.46</v>
      </c>
      <c r="F90" s="485">
        <v>32963.800000000003</v>
      </c>
      <c r="G90" s="485">
        <v>53244.36</v>
      </c>
      <c r="H90" s="485">
        <v>49472.84</v>
      </c>
      <c r="I90" s="485">
        <v>56475.28</v>
      </c>
      <c r="J90" s="485">
        <v>39017.35</v>
      </c>
      <c r="K90" s="485">
        <v>60939.61</v>
      </c>
      <c r="L90" s="485">
        <v>58724.66</v>
      </c>
      <c r="M90" s="485">
        <v>39347.26</v>
      </c>
      <c r="N90" s="603">
        <f t="shared" si="5"/>
        <v>435050.03999999992</v>
      </c>
      <c r="O90" s="608">
        <f>SUM('MTRT 2015'!B90:M90)</f>
        <v>387202.76</v>
      </c>
      <c r="P90" s="638">
        <f t="shared" si="7"/>
        <v>0.1235716398302531</v>
      </c>
      <c r="Q90" s="623">
        <f t="shared" si="6"/>
        <v>4.3205490148588044E-2</v>
      </c>
    </row>
    <row r="91" spans="1:17">
      <c r="A91" s="241" t="s">
        <v>239</v>
      </c>
      <c r="B91" s="485">
        <v>0</v>
      </c>
      <c r="C91" s="485">
        <v>138.52000000000001</v>
      </c>
      <c r="D91" s="485">
        <v>102.61</v>
      </c>
      <c r="E91" s="485">
        <v>10.49</v>
      </c>
      <c r="F91" s="485">
        <v>231.53</v>
      </c>
      <c r="G91" s="485">
        <v>134.06</v>
      </c>
      <c r="H91" s="485">
        <v>0</v>
      </c>
      <c r="I91" s="485">
        <v>290.52999999999997</v>
      </c>
      <c r="J91" s="485">
        <v>159.41</v>
      </c>
      <c r="K91" s="485">
        <v>0</v>
      </c>
      <c r="L91" s="485">
        <v>438.12</v>
      </c>
      <c r="M91" s="485">
        <v>0</v>
      </c>
      <c r="N91" s="603">
        <f t="shared" si="5"/>
        <v>1505.27</v>
      </c>
      <c r="O91" s="608">
        <f>SUM('MTRT 2015'!B91:M91)</f>
        <v>563.87</v>
      </c>
      <c r="P91" s="638">
        <f t="shared" si="7"/>
        <v>1.669533757781049</v>
      </c>
      <c r="Q91" s="623">
        <f t="shared" si="6"/>
        <v>1.4949068423477247E-4</v>
      </c>
    </row>
    <row r="92" spans="1:17" s="154" customFormat="1">
      <c r="A92" s="241" t="s">
        <v>240</v>
      </c>
      <c r="B92" s="485">
        <v>199.42</v>
      </c>
      <c r="C92" s="485">
        <v>700.46</v>
      </c>
      <c r="D92" s="485">
        <v>222.77</v>
      </c>
      <c r="E92" s="485">
        <v>1771.49</v>
      </c>
      <c r="F92" s="485">
        <v>1581.98</v>
      </c>
      <c r="G92" s="485">
        <v>1666.73</v>
      </c>
      <c r="H92" s="485">
        <v>1748.33</v>
      </c>
      <c r="I92" s="485">
        <v>274.12</v>
      </c>
      <c r="J92" s="485">
        <v>3150.85</v>
      </c>
      <c r="K92" s="485">
        <v>1790.84</v>
      </c>
      <c r="L92" s="485">
        <v>2424.8000000000002</v>
      </c>
      <c r="M92" s="485">
        <v>631.05999999999995</v>
      </c>
      <c r="N92" s="603">
        <f t="shared" si="5"/>
        <v>16162.85</v>
      </c>
      <c r="O92" s="606">
        <f>SUM('MTRT 2015'!B92:M92)</f>
        <v>14390.079999999998</v>
      </c>
      <c r="P92" s="638">
        <f t="shared" si="7"/>
        <v>0.12319389468300401</v>
      </c>
      <c r="Q92" s="623">
        <f t="shared" si="6"/>
        <v>1.6051575502627384E-3</v>
      </c>
    </row>
    <row r="93" spans="1:17">
      <c r="A93" s="560" t="s">
        <v>241</v>
      </c>
      <c r="B93" s="460">
        <v>6984</v>
      </c>
      <c r="C93" s="460">
        <v>21541.41</v>
      </c>
      <c r="D93" s="460">
        <v>2689.22</v>
      </c>
      <c r="E93" s="460">
        <v>4533.59</v>
      </c>
      <c r="F93" s="460">
        <v>24802.15</v>
      </c>
      <c r="G93" s="460">
        <v>26493.040000000001</v>
      </c>
      <c r="H93" s="460">
        <v>37843.18</v>
      </c>
      <c r="I93" s="460">
        <v>80355.460000000006</v>
      </c>
      <c r="J93" s="460">
        <v>39556.559999999998</v>
      </c>
      <c r="K93" s="460">
        <v>52030.03</v>
      </c>
      <c r="L93" s="460">
        <v>78789.259999999995</v>
      </c>
      <c r="M93" s="460">
        <v>39750.85</v>
      </c>
      <c r="N93" s="460">
        <f t="shared" si="5"/>
        <v>415368.75</v>
      </c>
      <c r="O93" s="602">
        <f>SUM('MTRT 2015'!B93:M93)</f>
        <v>311615.52</v>
      </c>
      <c r="P93" s="637">
        <f t="shared" si="7"/>
        <v>0.33295270402449773</v>
      </c>
      <c r="Q93" s="598">
        <f t="shared" si="6"/>
        <v>4.1250910897873569E-2</v>
      </c>
    </row>
    <row r="94" spans="1:17">
      <c r="A94" s="241" t="s">
        <v>416</v>
      </c>
      <c r="B94" s="39" t="s">
        <v>365</v>
      </c>
      <c r="C94" s="39" t="s">
        <v>365</v>
      </c>
      <c r="D94" s="39" t="s">
        <v>365</v>
      </c>
      <c r="E94" s="39" t="s">
        <v>365</v>
      </c>
      <c r="F94" s="39" t="s">
        <v>365</v>
      </c>
      <c r="G94" s="39" t="s">
        <v>365</v>
      </c>
      <c r="H94" s="39" t="s">
        <v>365</v>
      </c>
      <c r="I94" s="39" t="s">
        <v>365</v>
      </c>
      <c r="J94" s="39" t="s">
        <v>365</v>
      </c>
      <c r="K94" s="39" t="s">
        <v>365</v>
      </c>
      <c r="L94" s="39">
        <v>7.69</v>
      </c>
      <c r="M94" s="485">
        <v>0</v>
      </c>
      <c r="N94" s="682">
        <f>SUM(B94:M94)</f>
        <v>7.69</v>
      </c>
      <c r="O94" s="683" t="s">
        <v>365</v>
      </c>
      <c r="P94" s="676" t="s">
        <v>365</v>
      </c>
      <c r="Q94" s="685">
        <f t="shared" si="6"/>
        <v>7.6370575495784837E-7</v>
      </c>
    </row>
    <row r="95" spans="1:17" s="154" customFormat="1">
      <c r="A95" s="241" t="s">
        <v>242</v>
      </c>
      <c r="B95" s="485">
        <v>190</v>
      </c>
      <c r="C95" s="485">
        <v>164.44</v>
      </c>
      <c r="D95" s="485">
        <v>152.28</v>
      </c>
      <c r="E95" s="485">
        <v>144.88999999999999</v>
      </c>
      <c r="F95" s="485">
        <v>659.08</v>
      </c>
      <c r="G95" s="485">
        <v>546.44000000000005</v>
      </c>
      <c r="H95" s="485">
        <v>657.84</v>
      </c>
      <c r="I95" s="485">
        <v>672.94</v>
      </c>
      <c r="J95" s="485">
        <v>1033.77</v>
      </c>
      <c r="K95" s="485">
        <v>1117.99</v>
      </c>
      <c r="L95" s="485">
        <v>853.45</v>
      </c>
      <c r="M95" s="485">
        <v>1006.66</v>
      </c>
      <c r="N95" s="487">
        <f t="shared" si="5"/>
        <v>7199.78</v>
      </c>
      <c r="O95" s="606">
        <f>SUM('MTRT 2015'!B94:M94)</f>
        <v>4860.01</v>
      </c>
      <c r="P95" s="636">
        <f t="shared" si="7"/>
        <v>0.48143316577537898</v>
      </c>
      <c r="Q95" s="566">
        <f t="shared" si="6"/>
        <v>7.1502125103126363E-4</v>
      </c>
    </row>
    <row r="96" spans="1:17" s="154" customFormat="1">
      <c r="A96" s="560" t="s">
        <v>243</v>
      </c>
      <c r="B96" s="460">
        <v>85917</v>
      </c>
      <c r="C96" s="460">
        <v>99538.08</v>
      </c>
      <c r="D96" s="460">
        <v>87583.88</v>
      </c>
      <c r="E96" s="460">
        <v>96132.61</v>
      </c>
      <c r="F96" s="460">
        <v>187813.32</v>
      </c>
      <c r="G96" s="460">
        <v>98352.83</v>
      </c>
      <c r="H96" s="460">
        <v>112535.11</v>
      </c>
      <c r="I96" s="460">
        <v>151153.54</v>
      </c>
      <c r="J96" s="460">
        <v>176121.28</v>
      </c>
      <c r="K96" s="460">
        <v>161888.56</v>
      </c>
      <c r="L96" s="460">
        <v>160138.12</v>
      </c>
      <c r="M96" s="460">
        <v>89391.66</v>
      </c>
      <c r="N96" s="460">
        <f t="shared" si="5"/>
        <v>1506565.99</v>
      </c>
      <c r="O96" s="602">
        <f>SUM('MTRT 2015'!B95:M95)</f>
        <v>1370016.71</v>
      </c>
      <c r="P96" s="637">
        <f t="shared" si="7"/>
        <v>9.9669791618818948E-2</v>
      </c>
      <c r="Q96" s="598">
        <f t="shared" si="6"/>
        <v>0.14961939099957974</v>
      </c>
    </row>
    <row r="97" spans="1:18">
      <c r="A97" s="241" t="s">
        <v>331</v>
      </c>
      <c r="B97" s="485">
        <v>540</v>
      </c>
      <c r="C97" s="485">
        <v>504.5</v>
      </c>
      <c r="D97" s="485">
        <v>449.22</v>
      </c>
      <c r="E97" s="485">
        <v>603.75</v>
      </c>
      <c r="F97" s="485">
        <v>831.72</v>
      </c>
      <c r="G97" s="485">
        <v>700.14</v>
      </c>
      <c r="H97" s="485">
        <v>1065.3800000000001</v>
      </c>
      <c r="I97" s="485">
        <v>1436.21</v>
      </c>
      <c r="J97" s="485">
        <v>1146.71</v>
      </c>
      <c r="K97" s="485">
        <v>1441.29</v>
      </c>
      <c r="L97" s="485">
        <v>1081.3399999999999</v>
      </c>
      <c r="M97" s="485">
        <v>644.41</v>
      </c>
      <c r="N97" s="603">
        <f t="shared" si="5"/>
        <v>10444.670000000002</v>
      </c>
      <c r="O97" s="607">
        <f>SUM('MTRT 2015'!B96:M96)</f>
        <v>10255.75</v>
      </c>
      <c r="P97" s="638">
        <f t="shared" si="7"/>
        <v>1.8420885844526502E-2</v>
      </c>
      <c r="Q97" s="623">
        <f t="shared" si="6"/>
        <v>1.0372762792764097E-3</v>
      </c>
    </row>
    <row r="98" spans="1:18">
      <c r="A98" s="241" t="s">
        <v>356</v>
      </c>
      <c r="B98" s="489">
        <v>2073</v>
      </c>
      <c r="C98" s="489">
        <v>1526.11</v>
      </c>
      <c r="D98" s="489">
        <v>1541.96</v>
      </c>
      <c r="E98" s="489">
        <v>2135.17</v>
      </c>
      <c r="F98" s="489">
        <v>2586.04</v>
      </c>
      <c r="G98" s="489">
        <v>2698.7</v>
      </c>
      <c r="H98" s="489">
        <v>3128.2</v>
      </c>
      <c r="I98" s="489">
        <v>5257.74</v>
      </c>
      <c r="J98" s="489">
        <v>3713.33</v>
      </c>
      <c r="K98" s="489">
        <v>3936.19</v>
      </c>
      <c r="L98" s="489">
        <v>3528.98</v>
      </c>
      <c r="M98" s="489">
        <v>3362.9</v>
      </c>
      <c r="N98" s="603">
        <f t="shared" si="5"/>
        <v>35488.32</v>
      </c>
      <c r="O98" s="608">
        <f>SUM('MTRT 2015'!B97:M97)</f>
        <v>31937.43</v>
      </c>
      <c r="P98" s="638">
        <f t="shared" si="7"/>
        <v>0.11118270944155495</v>
      </c>
      <c r="Q98" s="623">
        <f t="shared" si="6"/>
        <v>3.5243997682426146E-3</v>
      </c>
    </row>
    <row r="99" spans="1:18">
      <c r="A99" s="241" t="s">
        <v>245</v>
      </c>
      <c r="B99" s="489">
        <v>11017</v>
      </c>
      <c r="C99" s="489">
        <v>9571.81</v>
      </c>
      <c r="D99" s="489">
        <v>10733.37</v>
      </c>
      <c r="E99" s="489">
        <v>8948.7900000000009</v>
      </c>
      <c r="F99" s="489">
        <v>19842.77</v>
      </c>
      <c r="G99" s="489">
        <v>12078.37</v>
      </c>
      <c r="H99" s="489">
        <v>12114.21</v>
      </c>
      <c r="I99" s="489">
        <v>14312.23</v>
      </c>
      <c r="J99" s="489">
        <v>18495.759999999998</v>
      </c>
      <c r="K99" s="489">
        <v>19741.34</v>
      </c>
      <c r="L99" s="489">
        <v>15830.07</v>
      </c>
      <c r="M99" s="489">
        <v>9488.43</v>
      </c>
      <c r="N99" s="603">
        <f t="shared" si="5"/>
        <v>162174.15</v>
      </c>
      <c r="O99" s="608">
        <f>SUM('MTRT 2015'!B98:M98)</f>
        <v>147530.66999999998</v>
      </c>
      <c r="P99" s="638">
        <f t="shared" si="7"/>
        <v>9.9257191741893402E-2</v>
      </c>
      <c r="Q99" s="623">
        <f t="shared" si="6"/>
        <v>1.6105764845305244E-2</v>
      </c>
    </row>
    <row r="100" spans="1:18">
      <c r="A100" s="241" t="s">
        <v>246</v>
      </c>
      <c r="B100" s="489">
        <v>776.8</v>
      </c>
      <c r="C100" s="489">
        <v>834.8</v>
      </c>
      <c r="D100" s="489">
        <v>700.7</v>
      </c>
      <c r="E100" s="489">
        <v>764.06</v>
      </c>
      <c r="F100" s="489">
        <v>1040.1600000000001</v>
      </c>
      <c r="G100" s="489">
        <v>991.84</v>
      </c>
      <c r="H100" s="489">
        <v>1133.19</v>
      </c>
      <c r="I100" s="489">
        <v>1436.94</v>
      </c>
      <c r="J100" s="489">
        <v>1428.64</v>
      </c>
      <c r="K100" s="489">
        <v>1622.38</v>
      </c>
      <c r="L100" s="489">
        <v>1365.64</v>
      </c>
      <c r="M100" s="489">
        <v>1159.6199999999999</v>
      </c>
      <c r="N100" s="603">
        <f t="shared" si="5"/>
        <v>13254.77</v>
      </c>
      <c r="O100" s="608">
        <f>SUM('MTRT 2015'!B99:M99)</f>
        <v>11556.380000000001</v>
      </c>
      <c r="P100" s="638">
        <f t="shared" si="7"/>
        <v>0.14696557226397888</v>
      </c>
      <c r="Q100" s="623">
        <f t="shared" si="6"/>
        <v>1.316351642346247E-3</v>
      </c>
    </row>
    <row r="101" spans="1:18">
      <c r="A101" s="241" t="s">
        <v>247</v>
      </c>
      <c r="B101" s="489">
        <v>652.92999999999995</v>
      </c>
      <c r="C101" s="489">
        <v>690.64</v>
      </c>
      <c r="D101" s="489">
        <v>693.34</v>
      </c>
      <c r="E101" s="489">
        <v>802.43</v>
      </c>
      <c r="F101" s="489">
        <v>1039.72</v>
      </c>
      <c r="G101" s="489">
        <v>841.41</v>
      </c>
      <c r="H101" s="489">
        <v>2169.13</v>
      </c>
      <c r="I101" s="489">
        <v>53.63</v>
      </c>
      <c r="J101" s="489">
        <v>1118.25</v>
      </c>
      <c r="K101" s="489">
        <v>1290.1400000000001</v>
      </c>
      <c r="L101" s="489">
        <v>1041.04</v>
      </c>
      <c r="M101" s="489">
        <v>914.25</v>
      </c>
      <c r="N101" s="603">
        <f t="shared" ref="N101:N102" si="8">SUM(B101:M101)</f>
        <v>11306.91</v>
      </c>
      <c r="O101" s="608">
        <f>SUM('MTRT 2015'!B100:M100)</f>
        <v>10152.420000000002</v>
      </c>
      <c r="P101" s="638">
        <f t="shared" si="7"/>
        <v>0.11371574462049416</v>
      </c>
      <c r="Q101" s="623">
        <f t="shared" si="6"/>
        <v>1.1229066629116313E-3</v>
      </c>
    </row>
    <row r="102" spans="1:18" ht="13" thickBot="1">
      <c r="A102" s="241" t="s">
        <v>248</v>
      </c>
      <c r="B102" s="489">
        <v>3999</v>
      </c>
      <c r="C102" s="489">
        <v>3217.63</v>
      </c>
      <c r="D102" s="489">
        <v>3151.14</v>
      </c>
      <c r="E102" s="489">
        <v>4126.1899999999996</v>
      </c>
      <c r="F102" s="489">
        <v>6764.05</v>
      </c>
      <c r="G102" s="489">
        <v>3958.33</v>
      </c>
      <c r="H102" s="489">
        <v>4968.38</v>
      </c>
      <c r="I102" s="489">
        <v>7374.45</v>
      </c>
      <c r="J102" s="489">
        <v>8002.53</v>
      </c>
      <c r="K102" s="489">
        <v>5494.67</v>
      </c>
      <c r="L102" s="489">
        <v>6965.81</v>
      </c>
      <c r="M102" s="489">
        <v>4639.92</v>
      </c>
      <c r="N102" s="605">
        <f t="shared" si="8"/>
        <v>62662.099999999991</v>
      </c>
      <c r="O102" s="616">
        <f>SUM('MTRT 2015'!B101:M101)</f>
        <v>59478.820000000007</v>
      </c>
      <c r="P102" s="638">
        <f t="shared" si="7"/>
        <v>5.351955536441344E-2</v>
      </c>
      <c r="Q102" s="623">
        <f t="shared" si="6"/>
        <v>6.2230697513321435E-3</v>
      </c>
    </row>
    <row r="103" spans="1:18" s="365" customFormat="1" ht="13" thickBot="1">
      <c r="A103" s="455" t="s">
        <v>54</v>
      </c>
      <c r="B103" s="493">
        <f>SUM(B5,B7:B9,B11:B12,B15,B18:B24,B26,B28,B30,B32,B34:B35,B37,B39:B40,B42:B43,B48:B58,B60:B61,B64:B65,B68,B70:B72,B74:B79,B81:B82,B84:B92,B95,B97:B102)</f>
        <v>511676.07999999996</v>
      </c>
      <c r="C103" s="493">
        <f>SUM(C5,C7:C9,C11:C12,C15,C18:C24,C26,C28,C30,C32,C34:C35,C37,C39:C40,C42:C43,C48:C58,C60:C61,C64:C65,C68,C70:C72,C74:C79,C81:C82,C84:C92,C95,C97:C102)</f>
        <v>584702.46000000008</v>
      </c>
      <c r="D103" s="493">
        <f>SUM(D5,D7:D9,D11:D12,D15,D18:D24,D26,D28,D30,D32,D34:D35,D37,D39:D40,D42:D43,D48:D58,D60:D61,D64:D65,D68,D70:D72,D74:D79,D81:D82,D84:D92,D95,D97:D102)</f>
        <v>547678.17000000004</v>
      </c>
      <c r="E103" s="493">
        <f>SUM(E5,E7:E9,E11:E12,E15,E18:E24,E26,E28,E30,E32,E34:E35,E37,E39:E40,E42:E43,E48:E58,E60:E61,E64:E65,E68,E70:E72,E74:E79,E81:E82,E84:E92,E95,E97:E102)</f>
        <v>587486.42000000016</v>
      </c>
      <c r="F103" s="493">
        <f>SUM(F5,F7:F9,F11:F12,F14:F15,F18:F24,F26,F28,F30,F32,F34:F35,F37,F39:F40,F42:F43,F48:F58,F60:F61,F64:F65,F68,F70:F72,F74:F79,F81:F82,F84:F92,F95,F97:F102)</f>
        <v>976755.15999999992</v>
      </c>
      <c r="G103" s="493">
        <f>SUM(G5,G7:G9,G11:G12,G15,G18:G24,G26,G28,G30,G32,G34:G35,G37,G39:G40,G42:G43,G48:G58,G60:G61,G64:G65,G68,G70:G72,G74:G79,G81:G82,G84:G92,G95,G97:G102)</f>
        <v>737682.80999999994</v>
      </c>
      <c r="H103" s="493">
        <f>SUM(H5,H7:H9,H11:H12,H15,H18:H24,H26,H28,H30,H32,H34:H35,H37,H39:H40,H42:H43,H48:H58,H60:H61,H64:H65,H68,H70:H72,H74:H79,H81:H82,H84:H92,H95,H97:H102)</f>
        <v>893484.04999999993</v>
      </c>
      <c r="I103" s="493">
        <f>SUM(I5,I7:I9,I11:I12,I15,I18:I24,I26,I28,I30,I32,I34:I35,I37,I39:I40,I42:I43,I48:I58,I60:I61,I64:I65,I68,I70:I72,I74:I79,I81:I82,I84:I92,I95,I97:I102)</f>
        <v>1109076.3599999999</v>
      </c>
      <c r="J103" s="493">
        <f>SUM(J5,J7:J9,J11:J12,J15,J18:J24,J26,J28,J30,J32,J34:J35,J37,J39:J40,J42:J43,J48:J58,J60:J61,J64:J65,J68,J70:J72,J74:J79,J81:J82,J84:J92,J95,J97:J102)</f>
        <v>1017347.6099999999</v>
      </c>
      <c r="K103" s="493">
        <f>SUM(K5,K7:K9,K11:K12,K15,K18:K24,K26,K28,K30,K32,K34:K35,K37,K39:K40,K42:K43,K48:K58,K60:K61,K64:K65,K68,K70:K72,K74:K79,K81:K82,K84:K92,K95,K97:K102)</f>
        <v>1098263.5299999996</v>
      </c>
      <c r="L103" s="493">
        <f>SUM(L5,L7:L9,L11:L12,L14:L15,L18:L24,L26,L28,L30,L32,L34:L35,L37,L39:L40,L42:L43,L48:L58,L60:L61,L64:L65,L68,L70:L72,L74:L79,L81:L82,L84:L92,L95,L97:L102)</f>
        <v>1134101.6800000004</v>
      </c>
      <c r="M103" s="493">
        <f>SUM(M5,M7:M9,M11:M12,M15,M18:M24,M26,M28,M30,M32,M34:M35,M37,M39:M40,M42:M43,M48:M58,M60:M61,M64:M65,M68,M70:M72,M74:M79,M81:M82,M84:M92,M95,M97:M102)</f>
        <v>871086.77000000025</v>
      </c>
      <c r="N103" s="614">
        <f>SUM(N5,N7:N9,N11:N12,N15,N18:N24,N26,N28,N30,N32,N34:N35,N37,N39:N40,N42:N43,N48:N58,N60:N61,N64:N65,N68,N70:N72,N74:N79,N81:N82,N84:N92,N95,N97:N102)</f>
        <v>10069323.099999998</v>
      </c>
      <c r="O103" s="615">
        <f>SUM('MTRT 2015'!B102:M102)</f>
        <v>9308203.6500000004</v>
      </c>
      <c r="P103" s="640">
        <f>N103/O103-1</f>
        <v>8.1768671874728138E-2</v>
      </c>
      <c r="Q103" s="627">
        <f t="shared" si="6"/>
        <v>1</v>
      </c>
      <c r="R103" s="621"/>
    </row>
    <row r="104" spans="1:18" s="236" customFormat="1" ht="13" thickBot="1">
      <c r="A104" s="537" t="s">
        <v>265</v>
      </c>
      <c r="B104" s="538">
        <f>B103/'MTRT 2015'!B102-1</f>
        <v>0.13134636599733307</v>
      </c>
      <c r="C104" s="538">
        <f>C103/'MTRT 2015'!C102-1</f>
        <v>5.099457425210363E-2</v>
      </c>
      <c r="D104" s="538">
        <f>D103/'MTRT 2015'!D102-1</f>
        <v>-3.3047932508045164E-2</v>
      </c>
      <c r="E104" s="538">
        <f>E103/'MTRT 2015'!E102-1</f>
        <v>1.3357254292055476E-2</v>
      </c>
      <c r="F104" s="538">
        <f>F103/'MTRT 2015'!F102-1</f>
        <v>0.1459109204587159</v>
      </c>
      <c r="G104" s="538">
        <f>G103/'MTRT 2015'!G102-1</f>
        <v>-2.5565120013889886E-2</v>
      </c>
      <c r="H104" s="538">
        <f>H103/'MTRT 2015'!H102-1</f>
        <v>0.11804697044843371</v>
      </c>
      <c r="I104" s="538">
        <f>I103/'MTRT 2015'!I102-1</f>
        <v>0.10787370769660942</v>
      </c>
      <c r="J104" s="538">
        <f>J103/'MTRT 2015'!J102-1</f>
        <v>5.8805532378319869E-2</v>
      </c>
      <c r="K104" s="538">
        <f>K103/'MTRT 2015'!K102-1</f>
        <v>0.17521389137604748</v>
      </c>
      <c r="L104" s="538">
        <f>L103/'MTRT 2015'!L102-1</f>
        <v>9.8796268097715689E-2</v>
      </c>
      <c r="M104" s="538">
        <f>M103/'MTRT 2015'!M102-1</f>
        <v>6.7102902083767457E-2</v>
      </c>
      <c r="N104" s="569"/>
      <c r="O104" s="570"/>
      <c r="P104" s="600"/>
      <c r="Q104" s="600"/>
    </row>
    <row r="105" spans="1:18">
      <c r="A105" s="242"/>
      <c r="B105" s="236"/>
      <c r="C105" s="243"/>
      <c r="D105" s="243"/>
      <c r="E105" s="236"/>
      <c r="F105" s="244"/>
      <c r="G105" s="236"/>
      <c r="H105" s="236"/>
      <c r="I105" s="236"/>
      <c r="J105" s="236"/>
      <c r="K105" s="236"/>
      <c r="L105" s="236"/>
      <c r="M105" s="244"/>
      <c r="N105" s="236"/>
      <c r="O105" s="236"/>
    </row>
    <row r="106" spans="1:18">
      <c r="A106" s="208"/>
      <c r="G106" s="117"/>
      <c r="H106" s="117"/>
      <c r="M106" s="245"/>
    </row>
    <row r="107" spans="1:18">
      <c r="A107" s="208"/>
      <c r="G107" s="117"/>
      <c r="H107" s="117"/>
      <c r="I107" s="100"/>
    </row>
    <row r="108" spans="1:18">
      <c r="A108" s="246"/>
      <c r="B108" s="247"/>
      <c r="P108" s="601"/>
    </row>
    <row r="109" spans="1:18">
      <c r="A109" s="246"/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P109" s="229"/>
    </row>
    <row r="110" spans="1:18">
      <c r="A110" s="208"/>
      <c r="F110" s="243"/>
      <c r="P110" s="229"/>
    </row>
    <row r="111" spans="1:18">
      <c r="F111" s="243"/>
    </row>
    <row r="112" spans="1:18">
      <c r="L112" s="249"/>
    </row>
    <row r="113" spans="1:12">
      <c r="L113" s="118"/>
    </row>
    <row r="114" spans="1:12">
      <c r="L114" s="227"/>
    </row>
    <row r="124" spans="1:12">
      <c r="A124" s="249"/>
    </row>
  </sheetData>
  <mergeCells count="1">
    <mergeCell ref="A1:Q1"/>
  </mergeCells>
  <conditionalFormatting sqref="P4:P103">
    <cfRule type="cellIs" dxfId="6" priority="1" operator="lessThan">
      <formula>0</formula>
    </cfRule>
  </conditionalFormatting>
  <printOptions horizontalCentered="1"/>
  <pageMargins left="0.25" right="0.25" top="0.25" bottom="0.25" header="0" footer="0"/>
  <pageSetup scale="56" orientation="portrait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2" enableFormatConditionsCalculation="0">
    <tabColor rgb="FF00B050"/>
    <pageSetUpPr fitToPage="1"/>
  </sheetPr>
  <dimension ref="A1:R123"/>
  <sheetViews>
    <sheetView workbookViewId="0">
      <pane ySplit="3" topLeftCell="A21" activePane="bottomLeft" state="frozen"/>
      <selection pane="bottomLeft" activeCell="A71" sqref="A71"/>
    </sheetView>
  </sheetViews>
  <sheetFormatPr baseColWidth="10" defaultColWidth="10.6640625" defaultRowHeight="12" x14ac:dyDescent="0"/>
  <cols>
    <col min="1" max="1" width="17.6640625" bestFit="1" customWidth="1"/>
    <col min="2" max="12" width="9" customWidth="1"/>
    <col min="13" max="13" width="12.5" style="48" customWidth="1"/>
    <col min="14" max="14" width="10.5" customWidth="1"/>
    <col min="15" max="15" width="9.5" bestFit="1" customWidth="1"/>
    <col min="16" max="16" width="9" style="196" customWidth="1"/>
  </cols>
  <sheetData>
    <row r="1" spans="1:17" ht="17">
      <c r="A1" s="710" t="s">
        <v>342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</row>
    <row r="2" spans="1:17" ht="13" thickBot="1"/>
    <row r="3" spans="1:17" ht="13" thickBot="1">
      <c r="A3" s="454" t="s">
        <v>152</v>
      </c>
      <c r="B3" s="462" t="s">
        <v>2</v>
      </c>
      <c r="C3" s="239" t="s">
        <v>3</v>
      </c>
      <c r="D3" s="239" t="s">
        <v>4</v>
      </c>
      <c r="E3" s="239" t="s">
        <v>5</v>
      </c>
      <c r="F3" s="239" t="s">
        <v>6</v>
      </c>
      <c r="G3" s="239" t="s">
        <v>7</v>
      </c>
      <c r="H3" s="239" t="s">
        <v>8</v>
      </c>
      <c r="I3" s="239" t="s">
        <v>9</v>
      </c>
      <c r="J3" s="239" t="s">
        <v>10</v>
      </c>
      <c r="K3" s="239" t="s">
        <v>11</v>
      </c>
      <c r="L3" s="239" t="s">
        <v>12</v>
      </c>
      <c r="M3" s="240" t="s">
        <v>13</v>
      </c>
      <c r="N3" s="613" t="s">
        <v>336</v>
      </c>
      <c r="O3" s="613" t="s">
        <v>147</v>
      </c>
      <c r="P3" s="596" t="s">
        <v>16</v>
      </c>
      <c r="Q3" s="627" t="s">
        <v>58</v>
      </c>
    </row>
    <row r="4" spans="1:17" s="154" customFormat="1">
      <c r="A4" s="457" t="s">
        <v>153</v>
      </c>
      <c r="B4" s="458">
        <v>8642.76</v>
      </c>
      <c r="C4" s="458">
        <v>24211.95</v>
      </c>
      <c r="D4" s="458">
        <v>9874.07</v>
      </c>
      <c r="E4" s="458">
        <v>8436.4500000000007</v>
      </c>
      <c r="F4" s="458">
        <v>18447.87</v>
      </c>
      <c r="G4" s="458">
        <v>16210.36</v>
      </c>
      <c r="H4" s="458">
        <v>15933.34</v>
      </c>
      <c r="I4" s="458">
        <v>39368.910000000003</v>
      </c>
      <c r="J4" s="458">
        <v>16144.71</v>
      </c>
      <c r="K4" s="458">
        <v>17764.87</v>
      </c>
      <c r="L4" s="458">
        <v>47629.07</v>
      </c>
      <c r="M4" s="458">
        <v>17253</v>
      </c>
      <c r="N4" s="458">
        <f>SUM(B4:M4)</f>
        <v>239917.36</v>
      </c>
      <c r="O4" s="458">
        <f>SUM('MTRT 2014'!B4:M4)</f>
        <v>0</v>
      </c>
      <c r="P4" s="597" t="e">
        <f>N4/O4-1</f>
        <v>#DIV/0!</v>
      </c>
      <c r="Q4" s="597">
        <f>N4/$N$102</f>
        <v>2.5774829281909831E-2</v>
      </c>
    </row>
    <row r="5" spans="1:17" s="222" customFormat="1">
      <c r="A5" s="241" t="s">
        <v>154</v>
      </c>
      <c r="B5" s="485">
        <v>0</v>
      </c>
      <c r="C5" s="485">
        <v>324.73</v>
      </c>
      <c r="D5" s="485">
        <v>267.66000000000003</v>
      </c>
      <c r="E5" s="485">
        <v>220.66</v>
      </c>
      <c r="F5" s="485">
        <v>350.91</v>
      </c>
      <c r="G5" s="485">
        <v>391.71</v>
      </c>
      <c r="H5" s="485">
        <v>430.1</v>
      </c>
      <c r="I5" s="485">
        <v>470.33</v>
      </c>
      <c r="J5" s="485">
        <v>501.29</v>
      </c>
      <c r="K5" s="485">
        <v>532.07000000000005</v>
      </c>
      <c r="L5" s="485">
        <v>769.79</v>
      </c>
      <c r="M5" s="485">
        <v>563</v>
      </c>
      <c r="N5" s="487">
        <f>SUM(B5:M5)</f>
        <v>4822.25</v>
      </c>
      <c r="O5" s="606">
        <f>SUM('MTRT 2014'!B5:M5)</f>
        <v>3711.3900000000008</v>
      </c>
      <c r="P5" s="527">
        <f>N5/O5-1</f>
        <v>0.29931103979910456</v>
      </c>
      <c r="Q5" s="566">
        <f t="shared" ref="Q5:Q68" si="0">N5/$N$102</f>
        <v>5.1806451398385552E-4</v>
      </c>
    </row>
    <row r="6" spans="1:17" s="154" customFormat="1">
      <c r="A6" s="560" t="s">
        <v>155</v>
      </c>
      <c r="B6" s="460">
        <v>15276.04</v>
      </c>
      <c r="C6" s="460">
        <v>15965.28</v>
      </c>
      <c r="D6" s="460">
        <v>11468.35</v>
      </c>
      <c r="E6" s="460">
        <v>14374.36</v>
      </c>
      <c r="F6" s="460">
        <v>22212.01</v>
      </c>
      <c r="G6" s="460">
        <v>19675.169999999998</v>
      </c>
      <c r="H6" s="460">
        <v>24506.93</v>
      </c>
      <c r="I6" s="460">
        <v>35375.18</v>
      </c>
      <c r="J6" s="460">
        <v>26266.67</v>
      </c>
      <c r="K6" s="460">
        <v>33749.019999999997</v>
      </c>
      <c r="L6" s="460">
        <v>42649.55</v>
      </c>
      <c r="M6" s="460">
        <v>20236</v>
      </c>
      <c r="N6" s="460">
        <f t="shared" ref="N6:N70" si="1">SUM(B6:M6)</f>
        <v>281754.56</v>
      </c>
      <c r="O6" s="602">
        <f>SUM('MTRT 2014'!B6:M6)</f>
        <v>0</v>
      </c>
      <c r="P6" s="598" t="e">
        <f t="shared" ref="P6:P70" si="2">N6/O6-1</f>
        <v>#DIV/0!</v>
      </c>
      <c r="Q6" s="598">
        <f t="shared" si="0"/>
        <v>3.0269488141248392E-2</v>
      </c>
    </row>
    <row r="7" spans="1:17">
      <c r="A7" s="241" t="s">
        <v>156</v>
      </c>
      <c r="B7" s="489">
        <v>1039.3800000000001</v>
      </c>
      <c r="C7" s="489">
        <v>1311.96</v>
      </c>
      <c r="D7" s="489">
        <v>999.46</v>
      </c>
      <c r="E7" s="489">
        <v>1453.6</v>
      </c>
      <c r="F7" s="489">
        <v>1920.79</v>
      </c>
      <c r="G7" s="489">
        <v>1407.02</v>
      </c>
      <c r="H7" s="489">
        <v>1931.71</v>
      </c>
      <c r="I7" s="489">
        <v>3706.76</v>
      </c>
      <c r="J7" s="489">
        <v>2466.2800000000002</v>
      </c>
      <c r="K7" s="489">
        <v>3123.65</v>
      </c>
      <c r="L7" s="489">
        <v>3845.82</v>
      </c>
      <c r="M7" s="489">
        <v>1919</v>
      </c>
      <c r="N7" s="603">
        <f t="shared" si="1"/>
        <v>25125.43</v>
      </c>
      <c r="O7" s="607">
        <f>SUM('MTRT 2014'!B7:M7)</f>
        <v>13231.58</v>
      </c>
      <c r="P7" s="604">
        <f t="shared" si="2"/>
        <v>0.89889869539389866</v>
      </c>
      <c r="Q7" s="623">
        <f t="shared" si="0"/>
        <v>2.6992780717684448E-3</v>
      </c>
    </row>
    <row r="8" spans="1:17">
      <c r="A8" s="241" t="s">
        <v>157</v>
      </c>
      <c r="B8" s="489">
        <v>455.73</v>
      </c>
      <c r="C8" s="489">
        <v>445.41</v>
      </c>
      <c r="D8" s="489">
        <v>474.01</v>
      </c>
      <c r="E8" s="489">
        <v>444.82</v>
      </c>
      <c r="F8" s="489">
        <v>515.6</v>
      </c>
      <c r="G8" s="489">
        <v>584.35</v>
      </c>
      <c r="H8" s="489">
        <v>1169.5899999999999</v>
      </c>
      <c r="I8" s="489">
        <v>890.68</v>
      </c>
      <c r="J8" s="489">
        <v>783.23</v>
      </c>
      <c r="K8" s="489">
        <v>893.53</v>
      </c>
      <c r="L8" s="489">
        <v>1916.08</v>
      </c>
      <c r="M8" s="489">
        <v>510</v>
      </c>
      <c r="N8" s="603">
        <f t="shared" si="1"/>
        <v>9083.0299999999988</v>
      </c>
      <c r="O8" s="608">
        <f>SUM('MTRT 2014'!B8:M8)</f>
        <v>7960.6800000000012</v>
      </c>
      <c r="P8" s="604">
        <f t="shared" si="2"/>
        <v>0.14098669962867461</v>
      </c>
      <c r="Q8" s="623">
        <f t="shared" si="0"/>
        <v>9.7580911865846403E-4</v>
      </c>
    </row>
    <row r="9" spans="1:17">
      <c r="A9" s="241" t="s">
        <v>158</v>
      </c>
      <c r="B9" s="489">
        <v>1708.62</v>
      </c>
      <c r="C9" s="489">
        <v>1773.24</v>
      </c>
      <c r="D9" s="489">
        <v>1207.3900000000001</v>
      </c>
      <c r="E9" s="489">
        <v>1384.67</v>
      </c>
      <c r="F9" s="489">
        <v>2435.36</v>
      </c>
      <c r="G9" s="489">
        <v>1886.23</v>
      </c>
      <c r="H9" s="489">
        <v>2032.33</v>
      </c>
      <c r="I9" s="489">
        <v>3258.19</v>
      </c>
      <c r="J9" s="489">
        <v>2784.77</v>
      </c>
      <c r="K9" s="489">
        <v>2997.59</v>
      </c>
      <c r="L9" s="489">
        <v>3299.87</v>
      </c>
      <c r="M9" s="489">
        <v>2260</v>
      </c>
      <c r="N9" s="603">
        <f t="shared" si="1"/>
        <v>27028.26</v>
      </c>
      <c r="O9" s="606">
        <f>SUM('MTRT 2014'!B9:M9)</f>
        <v>27871.279999999999</v>
      </c>
      <c r="P9" s="620">
        <f t="shared" si="2"/>
        <v>-3.0246906492992109E-2</v>
      </c>
      <c r="Q9" s="623">
        <f t="shared" si="0"/>
        <v>2.9037031221378572E-3</v>
      </c>
    </row>
    <row r="10" spans="1:17" s="154" customFormat="1">
      <c r="A10" s="560" t="s">
        <v>159</v>
      </c>
      <c r="B10" s="460">
        <v>29783.09</v>
      </c>
      <c r="C10" s="460">
        <v>29100.42</v>
      </c>
      <c r="D10" s="460">
        <v>29025.52</v>
      </c>
      <c r="E10" s="460">
        <v>25040.13</v>
      </c>
      <c r="F10" s="460">
        <v>46498.49</v>
      </c>
      <c r="G10" s="460">
        <v>34304.28</v>
      </c>
      <c r="H10" s="460">
        <v>33021.29</v>
      </c>
      <c r="I10" s="460">
        <v>64908.44</v>
      </c>
      <c r="J10" s="460">
        <v>60146.07</v>
      </c>
      <c r="K10" s="460">
        <v>59227.66</v>
      </c>
      <c r="L10" s="460">
        <v>72770.100000000006</v>
      </c>
      <c r="M10" s="460">
        <v>42906</v>
      </c>
      <c r="N10" s="460">
        <f t="shared" si="1"/>
        <v>526731.49</v>
      </c>
      <c r="O10" s="602">
        <f>SUM('MTRT 2014'!B10:M10)</f>
        <v>0</v>
      </c>
      <c r="P10" s="598" t="e">
        <f t="shared" si="2"/>
        <v>#DIV/0!</v>
      </c>
      <c r="Q10" s="598">
        <f t="shared" si="0"/>
        <v>5.6587877726547157E-2</v>
      </c>
    </row>
    <row r="11" spans="1:17">
      <c r="A11" s="241" t="s">
        <v>160</v>
      </c>
      <c r="B11" s="489">
        <v>8222.11</v>
      </c>
      <c r="C11" s="489">
        <v>8222.58</v>
      </c>
      <c r="D11" s="489">
        <v>8069.22</v>
      </c>
      <c r="E11" s="489">
        <v>6621.38</v>
      </c>
      <c r="F11" s="489">
        <v>13241.05</v>
      </c>
      <c r="G11" s="489">
        <v>9418.86</v>
      </c>
      <c r="H11" s="489">
        <v>8572.83</v>
      </c>
      <c r="I11" s="489">
        <v>18753.16</v>
      </c>
      <c r="J11" s="489">
        <v>16055.77</v>
      </c>
      <c r="K11" s="489">
        <v>15933.67</v>
      </c>
      <c r="L11" s="489">
        <v>21338.89</v>
      </c>
      <c r="M11" s="489">
        <v>11832</v>
      </c>
      <c r="N11" s="603">
        <f t="shared" si="1"/>
        <v>146281.52000000002</v>
      </c>
      <c r="O11" s="607">
        <f>SUM('MTRT 2014'!B11:M11)</f>
        <v>118021.09000000001</v>
      </c>
      <c r="P11" s="604">
        <f t="shared" si="2"/>
        <v>0.23945237245309303</v>
      </c>
      <c r="Q11" s="623">
        <f t="shared" si="0"/>
        <v>1.5715333000906141E-2</v>
      </c>
    </row>
    <row r="12" spans="1:17">
      <c r="A12" s="241" t="s">
        <v>161</v>
      </c>
      <c r="B12" s="489">
        <v>1487.07</v>
      </c>
      <c r="C12" s="489">
        <v>982.41</v>
      </c>
      <c r="D12" s="489">
        <v>1099.3</v>
      </c>
      <c r="E12" s="489">
        <v>1568.34</v>
      </c>
      <c r="F12" s="489">
        <v>1933.29</v>
      </c>
      <c r="G12" s="489">
        <v>1686.78</v>
      </c>
      <c r="H12" s="489">
        <v>1942.21</v>
      </c>
      <c r="I12" s="489">
        <v>2283.08</v>
      </c>
      <c r="J12" s="489">
        <v>2357.9499999999998</v>
      </c>
      <c r="K12" s="489">
        <v>2800.7</v>
      </c>
      <c r="L12" s="489">
        <v>2055.5700000000002</v>
      </c>
      <c r="M12" s="489">
        <v>2180</v>
      </c>
      <c r="N12" s="603">
        <f t="shared" si="1"/>
        <v>22376.7</v>
      </c>
      <c r="O12" s="606">
        <f>SUM('MTRT 2014'!B12:M12)</f>
        <v>21558.1</v>
      </c>
      <c r="P12" s="604">
        <f t="shared" si="2"/>
        <v>3.7971806420788567E-2</v>
      </c>
      <c r="Q12" s="623">
        <f t="shared" si="0"/>
        <v>2.40397619577221E-3</v>
      </c>
    </row>
    <row r="13" spans="1:17" s="154" customFormat="1">
      <c r="A13" s="560" t="s">
        <v>162</v>
      </c>
      <c r="B13" s="460">
        <v>9152.74</v>
      </c>
      <c r="C13" s="460">
        <v>14887.89</v>
      </c>
      <c r="D13" s="460">
        <v>11076.52</v>
      </c>
      <c r="E13" s="460">
        <v>10529.55</v>
      </c>
      <c r="F13" s="460">
        <v>28530.11</v>
      </c>
      <c r="G13" s="460">
        <v>14589.92</v>
      </c>
      <c r="H13" s="460">
        <v>14438.5</v>
      </c>
      <c r="I13" s="460">
        <v>39541.129999999997</v>
      </c>
      <c r="J13" s="460">
        <v>14400.71</v>
      </c>
      <c r="K13" s="460">
        <v>18137.98</v>
      </c>
      <c r="L13" s="460">
        <v>46688.53</v>
      </c>
      <c r="M13" s="460">
        <v>15648</v>
      </c>
      <c r="N13" s="460">
        <f t="shared" si="1"/>
        <v>237621.58</v>
      </c>
      <c r="O13" s="458">
        <f>SUM('MTRT 2014'!B13:M13)</f>
        <v>0</v>
      </c>
      <c r="P13" s="598" t="e">
        <f t="shared" si="2"/>
        <v>#DIV/0!</v>
      </c>
      <c r="Q13" s="598">
        <f t="shared" si="0"/>
        <v>2.5528188782160989E-2</v>
      </c>
    </row>
    <row r="14" spans="1:17">
      <c r="A14" s="241" t="s">
        <v>346</v>
      </c>
      <c r="B14" s="489">
        <v>0</v>
      </c>
      <c r="C14" s="489">
        <v>0</v>
      </c>
      <c r="D14" s="489">
        <v>0</v>
      </c>
      <c r="E14" s="489">
        <v>0</v>
      </c>
      <c r="F14" s="489">
        <v>0</v>
      </c>
      <c r="G14" s="489">
        <v>0</v>
      </c>
      <c r="H14" s="489">
        <v>0</v>
      </c>
      <c r="I14" s="489">
        <v>0</v>
      </c>
      <c r="J14" s="489">
        <v>0</v>
      </c>
      <c r="K14" s="489">
        <v>0</v>
      </c>
      <c r="L14" s="489">
        <v>16.91</v>
      </c>
      <c r="M14" s="489">
        <v>0</v>
      </c>
      <c r="N14" s="608">
        <f t="shared" si="1"/>
        <v>16.91</v>
      </c>
      <c r="O14" s="607">
        <v>0</v>
      </c>
      <c r="P14" s="527" t="e">
        <f t="shared" si="2"/>
        <v>#DIV/0!</v>
      </c>
      <c r="Q14" s="566">
        <f t="shared" si="0"/>
        <v>1.8166770556207157E-6</v>
      </c>
    </row>
    <row r="15" spans="1:17" s="154" customFormat="1">
      <c r="A15" s="241" t="s">
        <v>163</v>
      </c>
      <c r="B15" s="489">
        <v>1940.58</v>
      </c>
      <c r="C15" s="489">
        <v>3272.34</v>
      </c>
      <c r="D15" s="489">
        <v>2353.2800000000002</v>
      </c>
      <c r="E15" s="489">
        <v>1809.17</v>
      </c>
      <c r="F15" s="489">
        <v>6351.05</v>
      </c>
      <c r="G15" s="489">
        <v>3016.84</v>
      </c>
      <c r="H15" s="489">
        <v>3016.75</v>
      </c>
      <c r="I15" s="489">
        <v>9012.66</v>
      </c>
      <c r="J15" s="489">
        <v>3109.88</v>
      </c>
      <c r="K15" s="489">
        <v>3820.65</v>
      </c>
      <c r="L15" s="489">
        <v>10523</v>
      </c>
      <c r="M15" s="489">
        <v>3308</v>
      </c>
      <c r="N15" s="487">
        <f t="shared" si="1"/>
        <v>51534.200000000004</v>
      </c>
      <c r="O15" s="606">
        <f>SUM('MTRT 2014'!B14:M14)</f>
        <v>54558.000000000007</v>
      </c>
      <c r="P15" s="619">
        <f t="shared" si="2"/>
        <v>-5.5423585908574435E-2</v>
      </c>
      <c r="Q15" s="566">
        <f t="shared" si="0"/>
        <v>5.5364280733157358E-3</v>
      </c>
    </row>
    <row r="16" spans="1:17" s="154" customFormat="1">
      <c r="A16" s="560" t="s">
        <v>164</v>
      </c>
      <c r="B16" s="460">
        <v>2143.7199999999998</v>
      </c>
      <c r="C16" s="460">
        <v>2198.9899999999998</v>
      </c>
      <c r="D16" s="460">
        <v>1516.57</v>
      </c>
      <c r="E16" s="460">
        <v>1503.39</v>
      </c>
      <c r="F16" s="460">
        <v>2994.62</v>
      </c>
      <c r="G16" s="460">
        <v>6332.01</v>
      </c>
      <c r="H16" s="460">
        <v>8102.58</v>
      </c>
      <c r="I16" s="460">
        <v>14644.31</v>
      </c>
      <c r="J16" s="460">
        <v>14428.55</v>
      </c>
      <c r="K16" s="460">
        <v>13118.15</v>
      </c>
      <c r="L16" s="460">
        <v>21494.98</v>
      </c>
      <c r="M16" s="460">
        <v>3980</v>
      </c>
      <c r="N16" s="460">
        <f t="shared" si="1"/>
        <v>92457.869999999981</v>
      </c>
      <c r="O16" s="458">
        <f>SUM('MTRT 2014'!B15:M15)</f>
        <v>0</v>
      </c>
      <c r="P16" s="598" t="e">
        <f t="shared" si="2"/>
        <v>#DIV/0!</v>
      </c>
      <c r="Q16" s="598">
        <f t="shared" si="0"/>
        <v>9.9329444731261311E-3</v>
      </c>
    </row>
    <row r="17" spans="1:17">
      <c r="A17" s="560" t="s">
        <v>165</v>
      </c>
      <c r="B17" s="460">
        <v>57582.11</v>
      </c>
      <c r="C17" s="460">
        <v>92611.77</v>
      </c>
      <c r="D17" s="460">
        <v>81993.320000000007</v>
      </c>
      <c r="E17" s="460">
        <v>106946.07</v>
      </c>
      <c r="F17" s="460">
        <v>115168.04</v>
      </c>
      <c r="G17" s="460">
        <v>106738.94</v>
      </c>
      <c r="H17" s="460">
        <v>131891.04</v>
      </c>
      <c r="I17" s="460">
        <v>162261.29999999999</v>
      </c>
      <c r="J17" s="460">
        <v>208173.04</v>
      </c>
      <c r="K17" s="460">
        <v>158367.94</v>
      </c>
      <c r="L17" s="460">
        <v>112951</v>
      </c>
      <c r="M17" s="460">
        <v>121325</v>
      </c>
      <c r="N17" s="460">
        <f t="shared" si="1"/>
        <v>1456009.57</v>
      </c>
      <c r="O17" s="602">
        <f>SUM('MTRT 2014'!B16:M16)</f>
        <v>0</v>
      </c>
      <c r="P17" s="598" t="e">
        <f t="shared" si="2"/>
        <v>#DIV/0!</v>
      </c>
      <c r="Q17" s="598">
        <f t="shared" si="0"/>
        <v>0.15642218678788791</v>
      </c>
    </row>
    <row r="18" spans="1:17">
      <c r="A18" s="241" t="s">
        <v>166</v>
      </c>
      <c r="B18" s="489">
        <v>274.95</v>
      </c>
      <c r="C18" s="489">
        <v>455.15</v>
      </c>
      <c r="D18" s="489">
        <v>242.86</v>
      </c>
      <c r="E18" s="489">
        <v>316.39999999999998</v>
      </c>
      <c r="F18" s="489">
        <v>621.47</v>
      </c>
      <c r="G18" s="489">
        <v>569.54</v>
      </c>
      <c r="H18" s="489">
        <v>469.55</v>
      </c>
      <c r="I18" s="489">
        <v>650.74</v>
      </c>
      <c r="J18" s="489">
        <v>655.55</v>
      </c>
      <c r="K18" s="489">
        <v>861.6</v>
      </c>
      <c r="L18" s="485">
        <v>654.71</v>
      </c>
      <c r="M18" s="489">
        <v>474</v>
      </c>
      <c r="N18" s="603">
        <f t="shared" si="1"/>
        <v>6246.52</v>
      </c>
      <c r="O18" s="607">
        <f>SUM('MTRT 2014'!B17:M17)</f>
        <v>6946.3000000000011</v>
      </c>
      <c r="P18" s="620">
        <f t="shared" si="2"/>
        <v>-0.1007414018974131</v>
      </c>
      <c r="Q18" s="623">
        <f t="shared" si="0"/>
        <v>6.7107685165440059E-4</v>
      </c>
    </row>
    <row r="19" spans="1:17">
      <c r="A19" s="241" t="s">
        <v>167</v>
      </c>
      <c r="B19" s="489">
        <v>1230.24</v>
      </c>
      <c r="C19" s="489">
        <v>760.15</v>
      </c>
      <c r="D19" s="489">
        <v>1107.4100000000001</v>
      </c>
      <c r="E19" s="489">
        <v>2880.81</v>
      </c>
      <c r="F19" s="489">
        <v>21.54</v>
      </c>
      <c r="G19" s="489">
        <v>1378.36</v>
      </c>
      <c r="H19" s="489">
        <v>2368.3200000000002</v>
      </c>
      <c r="I19" s="489">
        <v>3767.32</v>
      </c>
      <c r="J19" s="489">
        <v>7147.07</v>
      </c>
      <c r="K19" s="489">
        <v>3360.99</v>
      </c>
      <c r="L19" s="485">
        <v>441.3</v>
      </c>
      <c r="M19" s="489">
        <v>3955</v>
      </c>
      <c r="N19" s="603">
        <f t="shared" si="1"/>
        <v>28418.51</v>
      </c>
      <c r="O19" s="608">
        <f>SUM('MTRT 2014'!B18:M18)</f>
        <v>14171.080000000002</v>
      </c>
      <c r="P19" s="604">
        <f t="shared" si="2"/>
        <v>1.0053877333273111</v>
      </c>
      <c r="Q19" s="623">
        <f t="shared" si="0"/>
        <v>3.0530606192742675E-3</v>
      </c>
    </row>
    <row r="20" spans="1:17">
      <c r="A20" s="241" t="s">
        <v>168</v>
      </c>
      <c r="B20" s="485">
        <v>9194.57</v>
      </c>
      <c r="C20" s="485">
        <v>11830.8</v>
      </c>
      <c r="D20" s="485">
        <v>12070.87</v>
      </c>
      <c r="E20" s="485">
        <v>14825.39</v>
      </c>
      <c r="F20" s="485">
        <v>17301.990000000002</v>
      </c>
      <c r="G20" s="485">
        <v>15527.3</v>
      </c>
      <c r="H20" s="485">
        <v>17605.63</v>
      </c>
      <c r="I20" s="485">
        <v>20792.25</v>
      </c>
      <c r="J20" s="485">
        <v>29118.38</v>
      </c>
      <c r="K20" s="485">
        <v>20967.419999999998</v>
      </c>
      <c r="L20" s="485">
        <v>15439.19</v>
      </c>
      <c r="M20" s="485">
        <v>16399</v>
      </c>
      <c r="N20" s="603">
        <f t="shared" si="1"/>
        <v>201072.78999999998</v>
      </c>
      <c r="O20" s="608">
        <f>SUM('MTRT 2014'!B19:M19)</f>
        <v>192992.14000000004</v>
      </c>
      <c r="P20" s="604">
        <f t="shared" si="2"/>
        <v>4.1870358036342425E-2</v>
      </c>
      <c r="Q20" s="623">
        <f t="shared" si="0"/>
        <v>2.1601674991285773E-2</v>
      </c>
    </row>
    <row r="21" spans="1:17">
      <c r="A21" s="241" t="s">
        <v>169</v>
      </c>
      <c r="B21" s="485">
        <v>0</v>
      </c>
      <c r="C21" s="485">
        <v>3860.54</v>
      </c>
      <c r="D21" s="485">
        <v>1647.12</v>
      </c>
      <c r="E21" s="485">
        <v>2727.65</v>
      </c>
      <c r="F21" s="485">
        <v>2435.17</v>
      </c>
      <c r="G21" s="485">
        <v>2165.2800000000002</v>
      </c>
      <c r="H21" s="485">
        <v>4251.26</v>
      </c>
      <c r="I21" s="485">
        <v>3438.49</v>
      </c>
      <c r="J21" s="485">
        <v>4011.92</v>
      </c>
      <c r="K21" s="485">
        <v>3545.23</v>
      </c>
      <c r="L21" s="485">
        <v>2550.77</v>
      </c>
      <c r="M21" s="485">
        <v>1656</v>
      </c>
      <c r="N21" s="603">
        <f t="shared" si="1"/>
        <v>32289.43</v>
      </c>
      <c r="O21" s="608">
        <f>SUM('MTRT 2014'!B20:M20)</f>
        <v>29751.260000000002</v>
      </c>
      <c r="P21" s="604">
        <f t="shared" si="2"/>
        <v>8.5313025397915965E-2</v>
      </c>
      <c r="Q21" s="623">
        <f t="shared" si="0"/>
        <v>3.4689217398031465E-3</v>
      </c>
    </row>
    <row r="22" spans="1:17">
      <c r="A22" s="241" t="s">
        <v>170</v>
      </c>
      <c r="B22" s="490">
        <v>0</v>
      </c>
      <c r="C22" s="485">
        <v>666.61</v>
      </c>
      <c r="D22" s="485">
        <v>0</v>
      </c>
      <c r="E22" s="485">
        <v>0</v>
      </c>
      <c r="F22" s="485">
        <v>595.22</v>
      </c>
      <c r="G22" s="485">
        <v>0</v>
      </c>
      <c r="H22" s="485">
        <v>0</v>
      </c>
      <c r="I22" s="485">
        <v>1078.1300000000001</v>
      </c>
      <c r="J22" s="485">
        <v>0</v>
      </c>
      <c r="K22" s="485">
        <v>0</v>
      </c>
      <c r="L22" s="485">
        <v>1065.07</v>
      </c>
      <c r="M22" s="485">
        <v>0</v>
      </c>
      <c r="N22" s="603">
        <f t="shared" si="1"/>
        <v>3405.0299999999997</v>
      </c>
      <c r="O22" s="608">
        <f>SUM('MTRT 2014'!B21:M21)</f>
        <v>3416.01</v>
      </c>
      <c r="P22" s="620">
        <f t="shared" si="2"/>
        <v>-3.2142763048118583E-3</v>
      </c>
      <c r="Q22" s="623">
        <f t="shared" si="0"/>
        <v>3.6580957272029597E-4</v>
      </c>
    </row>
    <row r="23" spans="1:17">
      <c r="A23" s="241" t="s">
        <v>171</v>
      </c>
      <c r="B23" s="490">
        <v>1728.88</v>
      </c>
      <c r="C23" s="485">
        <v>3035.35</v>
      </c>
      <c r="D23" s="485">
        <v>2912.89</v>
      </c>
      <c r="E23" s="485">
        <v>3351.46</v>
      </c>
      <c r="F23" s="485">
        <v>4180.22</v>
      </c>
      <c r="G23" s="485">
        <v>3787.14</v>
      </c>
      <c r="H23" s="485">
        <v>4030.31</v>
      </c>
      <c r="I23" s="485">
        <v>5012.17</v>
      </c>
      <c r="J23" s="485">
        <v>5676.66</v>
      </c>
      <c r="K23" s="485">
        <v>5162.51</v>
      </c>
      <c r="L23" s="485">
        <v>4163</v>
      </c>
      <c r="M23" s="485">
        <v>3869</v>
      </c>
      <c r="N23" s="603">
        <f t="shared" si="1"/>
        <v>46909.590000000004</v>
      </c>
      <c r="O23" s="608">
        <f>SUM('MTRT 2014'!B22:M22)</f>
        <v>40264.57</v>
      </c>
      <c r="P23" s="604">
        <f t="shared" si="2"/>
        <v>0.16503392436576392</v>
      </c>
      <c r="Q23" s="623">
        <f t="shared" si="0"/>
        <v>5.0395964424349484E-3</v>
      </c>
    </row>
    <row r="24" spans="1:17" s="154" customFormat="1">
      <c r="A24" s="241" t="s">
        <v>172</v>
      </c>
      <c r="B24" s="485">
        <v>1074.7</v>
      </c>
      <c r="C24" s="485">
        <v>988.28</v>
      </c>
      <c r="D24" s="485">
        <v>1275.1400000000001</v>
      </c>
      <c r="E24" s="485">
        <v>1044.1600000000001</v>
      </c>
      <c r="F24" s="485">
        <v>1725.33</v>
      </c>
      <c r="G24" s="485">
        <v>1246.54</v>
      </c>
      <c r="H24" s="485">
        <v>1661.52</v>
      </c>
      <c r="I24" s="485">
        <v>2162.77</v>
      </c>
      <c r="J24" s="485">
        <v>2298.5700000000002</v>
      </c>
      <c r="K24" s="485">
        <v>2574.66</v>
      </c>
      <c r="L24" s="489">
        <v>1793.96</v>
      </c>
      <c r="M24" s="485">
        <v>1962</v>
      </c>
      <c r="N24" s="603">
        <f t="shared" si="1"/>
        <v>19807.63</v>
      </c>
      <c r="O24" s="606">
        <f>SUM('MTRT 2014'!B23:M23)</f>
        <v>17568.129999999997</v>
      </c>
      <c r="P24" s="604">
        <f t="shared" si="2"/>
        <v>0.12747514960328754</v>
      </c>
      <c r="Q24" s="623">
        <f t="shared" si="0"/>
        <v>2.1279755734609439E-3</v>
      </c>
    </row>
    <row r="25" spans="1:17">
      <c r="A25" s="560" t="s">
        <v>173</v>
      </c>
      <c r="B25" s="460">
        <v>3215.04</v>
      </c>
      <c r="C25" s="460">
        <v>12224.39</v>
      </c>
      <c r="D25" s="460">
        <v>2876.63</v>
      </c>
      <c r="E25" s="460">
        <v>2651.04</v>
      </c>
      <c r="F25" s="460">
        <v>11975.03</v>
      </c>
      <c r="G25" s="460">
        <v>4423.1899999999996</v>
      </c>
      <c r="H25" s="460">
        <v>5044.3100000000004</v>
      </c>
      <c r="I25" s="460">
        <v>11432.16</v>
      </c>
      <c r="J25" s="460">
        <v>5188.2</v>
      </c>
      <c r="K25" s="460">
        <v>11437.7</v>
      </c>
      <c r="L25" s="460">
        <v>8097.88</v>
      </c>
      <c r="M25" s="460">
        <v>3122</v>
      </c>
      <c r="N25" s="460">
        <f t="shared" si="1"/>
        <v>81687.570000000007</v>
      </c>
      <c r="O25" s="458">
        <f>SUM('MTRT 2014'!B24:M24)</f>
        <v>0</v>
      </c>
      <c r="P25" s="598" t="e">
        <f t="shared" si="2"/>
        <v>#DIV/0!</v>
      </c>
      <c r="Q25" s="598">
        <f t="shared" si="0"/>
        <v>8.7758683706925557E-3</v>
      </c>
    </row>
    <row r="26" spans="1:17" s="154" customFormat="1">
      <c r="A26" s="241" t="s">
        <v>174</v>
      </c>
      <c r="B26" s="489">
        <v>821.7</v>
      </c>
      <c r="C26" s="489">
        <v>2290.4499999999998</v>
      </c>
      <c r="D26" s="489">
        <v>598.1</v>
      </c>
      <c r="E26" s="489">
        <v>565.82000000000005</v>
      </c>
      <c r="F26" s="489">
        <v>557.27</v>
      </c>
      <c r="G26" s="489">
        <v>366.39</v>
      </c>
      <c r="H26" s="489">
        <v>243.13</v>
      </c>
      <c r="I26" s="489">
        <v>499.92</v>
      </c>
      <c r="J26" s="489">
        <v>568.72</v>
      </c>
      <c r="K26" s="489">
        <v>383.89</v>
      </c>
      <c r="L26" s="489">
        <v>405.92</v>
      </c>
      <c r="M26" s="489">
        <v>695</v>
      </c>
      <c r="N26" s="487">
        <f t="shared" si="1"/>
        <v>7996.3100000000013</v>
      </c>
      <c r="O26" s="606">
        <f>SUM('MTRT 2014'!B25:M25)</f>
        <v>13483.629999999997</v>
      </c>
      <c r="P26" s="619">
        <f t="shared" si="2"/>
        <v>-0.40696162680227776</v>
      </c>
      <c r="Q26" s="566">
        <f t="shared" si="0"/>
        <v>8.5906049122593073E-4</v>
      </c>
    </row>
    <row r="27" spans="1:17">
      <c r="A27" s="560" t="s">
        <v>175</v>
      </c>
      <c r="B27" s="460">
        <v>13145.95</v>
      </c>
      <c r="C27" s="460">
        <v>18347.43</v>
      </c>
      <c r="D27" s="460">
        <v>9597.61</v>
      </c>
      <c r="E27" s="460">
        <v>5764.11</v>
      </c>
      <c r="F27" s="460">
        <v>30522.07</v>
      </c>
      <c r="G27" s="460">
        <v>40122.53</v>
      </c>
      <c r="H27" s="460">
        <v>40491.35</v>
      </c>
      <c r="I27" s="460">
        <v>67815.710000000006</v>
      </c>
      <c r="J27" s="460">
        <v>38850.839999999997</v>
      </c>
      <c r="K27" s="460">
        <v>32883.54</v>
      </c>
      <c r="L27" s="460">
        <v>67112.83</v>
      </c>
      <c r="M27" s="460">
        <v>29369</v>
      </c>
      <c r="N27" s="460">
        <f t="shared" si="1"/>
        <v>394022.97</v>
      </c>
      <c r="O27" s="458">
        <f>SUM('MTRT 2014'!B26:M26)</f>
        <v>0</v>
      </c>
      <c r="P27" s="598" t="e">
        <f t="shared" si="2"/>
        <v>#DIV/0!</v>
      </c>
      <c r="Q27" s="598">
        <f t="shared" si="0"/>
        <v>4.2330720815288561E-2</v>
      </c>
    </row>
    <row r="28" spans="1:17" s="154" customFormat="1">
      <c r="A28" s="241" t="s">
        <v>176</v>
      </c>
      <c r="B28" s="489">
        <v>3012.38</v>
      </c>
      <c r="C28" s="489">
        <v>3282.06</v>
      </c>
      <c r="D28" s="489">
        <v>2160.34</v>
      </c>
      <c r="E28" s="489">
        <v>1356.24</v>
      </c>
      <c r="F28" s="489">
        <v>6421.73</v>
      </c>
      <c r="G28" s="489">
        <v>8790.65</v>
      </c>
      <c r="H28" s="489">
        <v>9128.35</v>
      </c>
      <c r="I28" s="489">
        <v>15224.21</v>
      </c>
      <c r="J28" s="489">
        <v>9141.4</v>
      </c>
      <c r="K28" s="489">
        <v>6642.02</v>
      </c>
      <c r="L28" s="489">
        <v>14842.13</v>
      </c>
      <c r="M28" s="489">
        <v>6375</v>
      </c>
      <c r="N28" s="487">
        <f t="shared" si="1"/>
        <v>86376.510000000009</v>
      </c>
      <c r="O28" s="606">
        <f>SUM('MTRT 2014'!B27:M27)</f>
        <v>78819.53</v>
      </c>
      <c r="P28" s="527">
        <f t="shared" si="2"/>
        <v>9.5876999012808328E-2</v>
      </c>
      <c r="Q28" s="566">
        <f t="shared" si="0"/>
        <v>9.2796111094969446E-3</v>
      </c>
    </row>
    <row r="29" spans="1:17">
      <c r="A29" s="560" t="s">
        <v>177</v>
      </c>
      <c r="B29" s="460">
        <v>44718.52</v>
      </c>
      <c r="C29" s="460">
        <v>44582.82</v>
      </c>
      <c r="D29" s="460">
        <v>16463.560000000001</v>
      </c>
      <c r="E29" s="460">
        <v>28262.880000000001</v>
      </c>
      <c r="F29" s="460">
        <v>68304.09</v>
      </c>
      <c r="G29" s="460">
        <v>110763.99</v>
      </c>
      <c r="H29" s="460">
        <v>177868.98</v>
      </c>
      <c r="I29" s="460">
        <v>288224.18</v>
      </c>
      <c r="J29" s="460">
        <v>199896.86</v>
      </c>
      <c r="K29" s="460">
        <v>212808.02</v>
      </c>
      <c r="L29" s="460">
        <v>308598.2</v>
      </c>
      <c r="M29" s="460">
        <v>137058</v>
      </c>
      <c r="N29" s="460">
        <f t="shared" si="1"/>
        <v>1637550.0999999999</v>
      </c>
      <c r="O29" s="458">
        <f>SUM('MTRT 2014'!B28:M28)</f>
        <v>0</v>
      </c>
      <c r="P29" s="598" t="e">
        <f t="shared" si="2"/>
        <v>#DIV/0!</v>
      </c>
      <c r="Q29" s="598">
        <f t="shared" si="0"/>
        <v>0.17592546978707324</v>
      </c>
    </row>
    <row r="30" spans="1:17" s="154" customFormat="1">
      <c r="A30" s="241" t="s">
        <v>178</v>
      </c>
      <c r="B30" s="489">
        <v>622.9</v>
      </c>
      <c r="C30" s="489">
        <v>1484.84</v>
      </c>
      <c r="D30" s="489">
        <v>0</v>
      </c>
      <c r="E30" s="489">
        <v>359.68</v>
      </c>
      <c r="F30" s="489">
        <v>1262.3399999999999</v>
      </c>
      <c r="G30" s="489">
        <v>726.28</v>
      </c>
      <c r="H30" s="489">
        <v>2064.09</v>
      </c>
      <c r="I30" s="489">
        <v>4946.54</v>
      </c>
      <c r="J30" s="489">
        <v>1309.6600000000001</v>
      </c>
      <c r="K30" s="489">
        <v>1235.3800000000001</v>
      </c>
      <c r="L30" s="489">
        <v>5348.15</v>
      </c>
      <c r="M30" s="489">
        <v>305</v>
      </c>
      <c r="N30" s="487">
        <f t="shared" si="1"/>
        <v>19664.86</v>
      </c>
      <c r="O30" s="606">
        <f>SUM('MTRT 2014'!B29:M29)</f>
        <v>16588.18</v>
      </c>
      <c r="P30" s="527">
        <f t="shared" si="2"/>
        <v>0.18547423526872753</v>
      </c>
      <c r="Q30" s="566">
        <f t="shared" si="0"/>
        <v>2.1126374904786274E-3</v>
      </c>
    </row>
    <row r="31" spans="1:17">
      <c r="A31" s="560" t="s">
        <v>179</v>
      </c>
      <c r="B31" s="460">
        <v>121632.88</v>
      </c>
      <c r="C31" s="460">
        <v>117815.94</v>
      </c>
      <c r="D31" s="460">
        <v>42317.88</v>
      </c>
      <c r="E31" s="460">
        <v>92312.47</v>
      </c>
      <c r="F31" s="460">
        <v>326566.58</v>
      </c>
      <c r="G31" s="460">
        <v>402512.7</v>
      </c>
      <c r="H31" s="460">
        <v>517998.45</v>
      </c>
      <c r="I31" s="460">
        <v>514661.73</v>
      </c>
      <c r="J31" s="460">
        <v>436247.74</v>
      </c>
      <c r="K31" s="460">
        <v>413496.76</v>
      </c>
      <c r="L31" s="460">
        <v>567202.06999999995</v>
      </c>
      <c r="M31" s="460">
        <v>345908</v>
      </c>
      <c r="N31" s="460">
        <f t="shared" si="1"/>
        <v>3898673.1999999997</v>
      </c>
      <c r="O31" s="458">
        <f>SUM('MTRT 2014'!B30:M30)</f>
        <v>0</v>
      </c>
      <c r="P31" s="598" t="e">
        <f t="shared" si="2"/>
        <v>#DIV/0!</v>
      </c>
      <c r="Q31" s="598">
        <f t="shared" si="0"/>
        <v>0.41884270548807767</v>
      </c>
    </row>
    <row r="32" spans="1:17" s="154" customFormat="1">
      <c r="A32" s="241" t="s">
        <v>180</v>
      </c>
      <c r="B32" s="489">
        <v>30556.78</v>
      </c>
      <c r="C32" s="489">
        <v>27213.54</v>
      </c>
      <c r="D32" s="489">
        <v>12470.79</v>
      </c>
      <c r="E32" s="489">
        <v>24489.4</v>
      </c>
      <c r="F32" s="489">
        <v>78835.17</v>
      </c>
      <c r="G32" s="489">
        <v>103166.92</v>
      </c>
      <c r="H32" s="489">
        <v>128488.46</v>
      </c>
      <c r="I32" s="489">
        <v>113788.85</v>
      </c>
      <c r="J32" s="489">
        <v>112774.24</v>
      </c>
      <c r="K32" s="489">
        <v>100056.12</v>
      </c>
      <c r="L32" s="489">
        <v>134562.35999999999</v>
      </c>
      <c r="M32" s="489">
        <v>89569</v>
      </c>
      <c r="N32" s="487">
        <f t="shared" si="1"/>
        <v>955971.63</v>
      </c>
      <c r="O32" s="606">
        <f>SUM('MTRT 2014'!B31:M31)</f>
        <v>877309.69</v>
      </c>
      <c r="P32" s="527">
        <f t="shared" si="2"/>
        <v>8.9662682284975093E-2</v>
      </c>
      <c r="Q32" s="566">
        <f t="shared" si="0"/>
        <v>0.10270205358044567</v>
      </c>
    </row>
    <row r="33" spans="1:17">
      <c r="A33" s="560" t="s">
        <v>181</v>
      </c>
      <c r="B33" s="460">
        <v>39227.67</v>
      </c>
      <c r="C33" s="460">
        <v>81869.039999999994</v>
      </c>
      <c r="D33" s="460">
        <v>54602.44</v>
      </c>
      <c r="E33" s="460">
        <v>71450.320000000007</v>
      </c>
      <c r="F33" s="460">
        <v>79299.63</v>
      </c>
      <c r="G33" s="460">
        <v>101688.84</v>
      </c>
      <c r="H33" s="460">
        <v>89402.74</v>
      </c>
      <c r="I33" s="460">
        <v>135737.04</v>
      </c>
      <c r="J33" s="460">
        <v>141667.32999999999</v>
      </c>
      <c r="K33" s="460">
        <v>115785.86</v>
      </c>
      <c r="L33" s="460">
        <v>122482</v>
      </c>
      <c r="M33" s="460">
        <v>94268</v>
      </c>
      <c r="N33" s="460">
        <f t="shared" si="1"/>
        <v>1127480.9099999999</v>
      </c>
      <c r="O33" s="602">
        <f>SUM('MTRT 2014'!B32:M32)</f>
        <v>0</v>
      </c>
      <c r="P33" s="598" t="e">
        <f t="shared" si="2"/>
        <v>#DIV/0!</v>
      </c>
      <c r="Q33" s="598">
        <f t="shared" si="0"/>
        <v>0.12112765818139355</v>
      </c>
    </row>
    <row r="34" spans="1:17">
      <c r="A34" s="241" t="s">
        <v>182</v>
      </c>
      <c r="B34" s="489">
        <v>7172.39</v>
      </c>
      <c r="C34" s="489">
        <v>10769.84</v>
      </c>
      <c r="D34" s="489">
        <v>8200.02</v>
      </c>
      <c r="E34" s="489">
        <v>10820.61</v>
      </c>
      <c r="F34" s="489">
        <v>10320.14</v>
      </c>
      <c r="G34" s="489">
        <v>20231.11</v>
      </c>
      <c r="H34" s="489">
        <v>18955.21</v>
      </c>
      <c r="I34" s="489">
        <v>28114.89</v>
      </c>
      <c r="J34" s="489">
        <v>29156.06</v>
      </c>
      <c r="K34" s="489">
        <v>23654.12</v>
      </c>
      <c r="L34" s="489">
        <v>24809</v>
      </c>
      <c r="M34" s="489">
        <v>18711</v>
      </c>
      <c r="N34" s="603">
        <f t="shared" si="1"/>
        <v>210914.39</v>
      </c>
      <c r="O34" s="607">
        <f>SUM('MTRT 2014'!B33:M33)</f>
        <v>194952.22000000003</v>
      </c>
      <c r="P34" s="604">
        <f t="shared" si="2"/>
        <v>8.1877344100005578E-2</v>
      </c>
      <c r="Q34" s="623">
        <f t="shared" si="0"/>
        <v>2.2658978889014747E-2</v>
      </c>
    </row>
    <row r="35" spans="1:17" s="154" customFormat="1">
      <c r="A35" s="241" t="s">
        <v>183</v>
      </c>
      <c r="B35" s="489">
        <v>1991.63</v>
      </c>
      <c r="C35" s="489">
        <v>8091.78</v>
      </c>
      <c r="D35" s="489">
        <v>4514.82</v>
      </c>
      <c r="E35" s="489">
        <v>5183.3999999999996</v>
      </c>
      <c r="F35" s="489">
        <v>7731.37</v>
      </c>
      <c r="G35" s="489">
        <v>3224.36</v>
      </c>
      <c r="H35" s="489">
        <v>1954.69</v>
      </c>
      <c r="I35" s="489">
        <v>3572.87</v>
      </c>
      <c r="J35" s="489">
        <v>4052.38</v>
      </c>
      <c r="K35" s="489">
        <v>3352.78</v>
      </c>
      <c r="L35" s="489">
        <v>3592.58</v>
      </c>
      <c r="M35" s="489">
        <v>2417</v>
      </c>
      <c r="N35" s="603">
        <f t="shared" si="1"/>
        <v>49679.659999999996</v>
      </c>
      <c r="O35" s="606">
        <f>SUM('MTRT 2014'!B34:M34)</f>
        <v>43369.920000000006</v>
      </c>
      <c r="P35" s="604">
        <f t="shared" si="2"/>
        <v>0.14548654920276527</v>
      </c>
      <c r="Q35" s="623">
        <f t="shared" si="0"/>
        <v>5.337190919753888E-3</v>
      </c>
    </row>
    <row r="36" spans="1:17">
      <c r="A36" s="560" t="s">
        <v>184</v>
      </c>
      <c r="B36" s="460">
        <v>1921.44</v>
      </c>
      <c r="C36" s="460">
        <v>9643.19</v>
      </c>
      <c r="D36" s="460">
        <v>3931.91</v>
      </c>
      <c r="E36" s="460">
        <v>2214.7399999999998</v>
      </c>
      <c r="F36" s="460">
        <v>10571.8</v>
      </c>
      <c r="G36" s="460">
        <v>5762.78</v>
      </c>
      <c r="H36" s="460">
        <v>3758.34</v>
      </c>
      <c r="I36" s="460">
        <v>17857.89</v>
      </c>
      <c r="J36" s="460">
        <v>3190.89</v>
      </c>
      <c r="K36" s="460">
        <v>5521.92</v>
      </c>
      <c r="L36" s="460">
        <v>19598.53</v>
      </c>
      <c r="M36" s="460">
        <v>2811</v>
      </c>
      <c r="N36" s="460">
        <f t="shared" si="1"/>
        <v>86784.43</v>
      </c>
      <c r="O36" s="458">
        <f>SUM('MTRT 2014'!B35:M35)</f>
        <v>0</v>
      </c>
      <c r="P36" s="598" t="e">
        <f t="shared" si="2"/>
        <v>#DIV/0!</v>
      </c>
      <c r="Q36" s="598">
        <f t="shared" si="0"/>
        <v>9.3234348176299293E-3</v>
      </c>
    </row>
    <row r="37" spans="1:17" s="154" customFormat="1">
      <c r="A37" s="241" t="s">
        <v>185</v>
      </c>
      <c r="B37" s="489">
        <v>0</v>
      </c>
      <c r="C37" s="489">
        <v>0</v>
      </c>
      <c r="D37" s="489">
        <v>0</v>
      </c>
      <c r="E37" s="489">
        <v>0</v>
      </c>
      <c r="F37" s="489">
        <v>0</v>
      </c>
      <c r="G37" s="489">
        <v>0</v>
      </c>
      <c r="H37" s="489">
        <v>0</v>
      </c>
      <c r="I37" s="489">
        <v>0</v>
      </c>
      <c r="J37" s="489">
        <v>0</v>
      </c>
      <c r="K37" s="489">
        <v>0</v>
      </c>
      <c r="L37" s="489">
        <v>0</v>
      </c>
      <c r="M37" s="489">
        <v>0</v>
      </c>
      <c r="N37" s="487">
        <f t="shared" si="1"/>
        <v>0</v>
      </c>
      <c r="O37" s="606">
        <f>SUM('MTRT 2014'!B36:M36)</f>
        <v>0</v>
      </c>
      <c r="P37" s="527" t="e">
        <f t="shared" si="2"/>
        <v>#DIV/0!</v>
      </c>
      <c r="Q37" s="566">
        <f t="shared" si="0"/>
        <v>0</v>
      </c>
    </row>
    <row r="38" spans="1:17">
      <c r="A38" s="560" t="s">
        <v>186</v>
      </c>
      <c r="B38" s="460">
        <v>54563.25</v>
      </c>
      <c r="C38" s="460">
        <v>74727.789999999994</v>
      </c>
      <c r="D38" s="460">
        <v>40354.36</v>
      </c>
      <c r="E38" s="460">
        <v>85530.76</v>
      </c>
      <c r="F38" s="460">
        <v>131149.73000000001</v>
      </c>
      <c r="G38" s="460">
        <v>158362.16</v>
      </c>
      <c r="H38" s="460">
        <v>179419.53</v>
      </c>
      <c r="I38" s="460">
        <v>274363.46999999997</v>
      </c>
      <c r="J38" s="460">
        <v>218980.86</v>
      </c>
      <c r="K38" s="460">
        <v>225697.59</v>
      </c>
      <c r="L38" s="460">
        <v>310198</v>
      </c>
      <c r="M38" s="460">
        <v>143090</v>
      </c>
      <c r="N38" s="460">
        <f t="shared" si="1"/>
        <v>1896437.5000000002</v>
      </c>
      <c r="O38" s="602">
        <f>SUM('MTRT 2014'!B37:M37)</f>
        <v>0</v>
      </c>
      <c r="P38" s="598" t="e">
        <f t="shared" si="2"/>
        <v>#DIV/0!</v>
      </c>
      <c r="Q38" s="598">
        <f t="shared" si="0"/>
        <v>0.20373829057768844</v>
      </c>
    </row>
    <row r="39" spans="1:17">
      <c r="A39" s="241" t="s">
        <v>187</v>
      </c>
      <c r="B39" s="489">
        <v>281.83999999999997</v>
      </c>
      <c r="C39" s="489">
        <v>318.45</v>
      </c>
      <c r="D39" s="489">
        <v>0</v>
      </c>
      <c r="E39" s="489">
        <v>5.82</v>
      </c>
      <c r="F39" s="489">
        <v>337.18</v>
      </c>
      <c r="G39" s="489">
        <v>412.14</v>
      </c>
      <c r="H39" s="489">
        <v>152.62</v>
      </c>
      <c r="I39" s="489">
        <v>1136.55</v>
      </c>
      <c r="J39" s="489">
        <v>33.56</v>
      </c>
      <c r="K39" s="489">
        <v>65.86</v>
      </c>
      <c r="L39" s="489">
        <v>1278</v>
      </c>
      <c r="M39" s="489">
        <v>89</v>
      </c>
      <c r="N39" s="603">
        <f t="shared" si="1"/>
        <v>4111.0199999999995</v>
      </c>
      <c r="O39" s="607">
        <f>SUM('MTRT 2014'!B38:M38)</f>
        <v>1949.2</v>
      </c>
      <c r="P39" s="604">
        <f t="shared" si="2"/>
        <v>1.1090806484711675</v>
      </c>
      <c r="Q39" s="623">
        <f t="shared" si="0"/>
        <v>4.4165557121217467E-4</v>
      </c>
    </row>
    <row r="40" spans="1:17" s="154" customFormat="1">
      <c r="A40" s="241" t="s">
        <v>188</v>
      </c>
      <c r="B40" s="489">
        <v>3020.21</v>
      </c>
      <c r="C40" s="489">
        <v>8355.61</v>
      </c>
      <c r="D40" s="489">
        <v>2749.24</v>
      </c>
      <c r="E40" s="489">
        <v>5766.98</v>
      </c>
      <c r="F40" s="489">
        <v>10774.92</v>
      </c>
      <c r="G40" s="489">
        <v>10175.6</v>
      </c>
      <c r="H40" s="489">
        <v>12748.96</v>
      </c>
      <c r="I40" s="489">
        <v>23010.720000000001</v>
      </c>
      <c r="J40" s="489">
        <v>16037.48</v>
      </c>
      <c r="K40" s="489">
        <v>21377.06</v>
      </c>
      <c r="L40" s="489">
        <v>30603.49</v>
      </c>
      <c r="M40" s="489">
        <v>10371</v>
      </c>
      <c r="N40" s="603">
        <f t="shared" si="1"/>
        <v>154991.26999999999</v>
      </c>
      <c r="O40" s="606">
        <f>SUM('MTRT 2014'!B39:M39)</f>
        <v>132215.72</v>
      </c>
      <c r="P40" s="604">
        <f t="shared" si="2"/>
        <v>0.1722605299884159</v>
      </c>
      <c r="Q40" s="623">
        <f t="shared" si="0"/>
        <v>1.6651039859876721E-2</v>
      </c>
    </row>
    <row r="41" spans="1:17">
      <c r="A41" s="560" t="s">
        <v>189</v>
      </c>
      <c r="B41" s="460">
        <v>5552.83</v>
      </c>
      <c r="C41" s="460">
        <v>6696.29</v>
      </c>
      <c r="D41" s="460">
        <v>5364.34</v>
      </c>
      <c r="E41" s="460">
        <v>6574.01</v>
      </c>
      <c r="F41" s="460">
        <v>11488.67</v>
      </c>
      <c r="G41" s="460">
        <v>11473</v>
      </c>
      <c r="H41" s="460">
        <v>10152.75</v>
      </c>
      <c r="I41" s="460">
        <v>19172.439999999999</v>
      </c>
      <c r="J41" s="460">
        <v>12659.55</v>
      </c>
      <c r="K41" s="460">
        <v>11537.32</v>
      </c>
      <c r="L41" s="460">
        <v>18986</v>
      </c>
      <c r="M41" s="460">
        <v>9016</v>
      </c>
      <c r="N41" s="460">
        <f t="shared" si="1"/>
        <v>128673.20000000001</v>
      </c>
      <c r="O41" s="602">
        <f>SUM('MTRT 2014'!B40:M40)</f>
        <v>0</v>
      </c>
      <c r="P41" s="598" t="e">
        <f t="shared" si="2"/>
        <v>#DIV/0!</v>
      </c>
      <c r="Q41" s="598">
        <f t="shared" si="0"/>
        <v>1.3823633951111502E-2</v>
      </c>
    </row>
    <row r="42" spans="1:17">
      <c r="A42" s="241" t="s">
        <v>190</v>
      </c>
      <c r="B42" s="489">
        <v>545.41</v>
      </c>
      <c r="C42" s="489">
        <v>98.19</v>
      </c>
      <c r="D42" s="489">
        <v>666.19</v>
      </c>
      <c r="E42" s="489">
        <v>1105.2</v>
      </c>
      <c r="F42" s="489">
        <v>1561.83</v>
      </c>
      <c r="G42" s="489">
        <v>1643.02</v>
      </c>
      <c r="H42" s="489">
        <v>648.55999999999995</v>
      </c>
      <c r="I42" s="489">
        <v>2511.15</v>
      </c>
      <c r="J42" s="489">
        <v>1618.27</v>
      </c>
      <c r="K42" s="489">
        <v>1492</v>
      </c>
      <c r="L42" s="489">
        <v>2510</v>
      </c>
      <c r="M42" s="489">
        <v>917</v>
      </c>
      <c r="N42" s="603">
        <f t="shared" si="1"/>
        <v>15316.82</v>
      </c>
      <c r="O42" s="607">
        <f>SUM('MTRT 2014'!B41:M41)</f>
        <v>15662.73</v>
      </c>
      <c r="P42" s="620">
        <f t="shared" si="2"/>
        <v>-2.2084911123412043E-2</v>
      </c>
      <c r="Q42" s="623">
        <f t="shared" si="0"/>
        <v>1.645518359495712E-3</v>
      </c>
    </row>
    <row r="43" spans="1:17" s="154" customFormat="1">
      <c r="A43" s="241" t="s">
        <v>191</v>
      </c>
      <c r="B43" s="489">
        <v>1305.53</v>
      </c>
      <c r="C43" s="489">
        <v>1727.07</v>
      </c>
      <c r="D43" s="489">
        <v>1121.9100000000001</v>
      </c>
      <c r="E43" s="489">
        <v>1086.1500000000001</v>
      </c>
      <c r="F43" s="489">
        <v>2034.88</v>
      </c>
      <c r="G43" s="489">
        <v>2181.3200000000002</v>
      </c>
      <c r="H43" s="489">
        <v>2161.63</v>
      </c>
      <c r="I43" s="489">
        <v>3521.53</v>
      </c>
      <c r="J43" s="489">
        <v>2601.6</v>
      </c>
      <c r="K43" s="489">
        <v>2353.77</v>
      </c>
      <c r="L43" s="489">
        <v>3040</v>
      </c>
      <c r="M43" s="489">
        <v>1875</v>
      </c>
      <c r="N43" s="603">
        <f t="shared" si="1"/>
        <v>25010.390000000003</v>
      </c>
      <c r="O43" s="606">
        <f>SUM('MTRT 2014'!B42:M42)</f>
        <v>20142.41</v>
      </c>
      <c r="P43" s="604">
        <f t="shared" si="2"/>
        <v>0.24167813086914647</v>
      </c>
      <c r="Q43" s="623">
        <f t="shared" si="0"/>
        <v>2.686919081320272E-3</v>
      </c>
    </row>
    <row r="44" spans="1:17" s="154" customFormat="1">
      <c r="A44" s="563" t="s">
        <v>192</v>
      </c>
      <c r="B44" s="478">
        <v>85.86</v>
      </c>
      <c r="C44" s="478">
        <v>517.04</v>
      </c>
      <c r="D44" s="478">
        <v>95.9</v>
      </c>
      <c r="E44" s="478">
        <v>117.71</v>
      </c>
      <c r="F44" s="478">
        <v>113.84</v>
      </c>
      <c r="G44" s="478">
        <v>841.24</v>
      </c>
      <c r="H44" s="478">
        <v>746.86</v>
      </c>
      <c r="I44" s="478">
        <v>374.77</v>
      </c>
      <c r="J44" s="478">
        <v>133.72</v>
      </c>
      <c r="K44" s="478">
        <v>1145.0899999999999</v>
      </c>
      <c r="L44" s="460">
        <v>713.85</v>
      </c>
      <c r="M44" s="478">
        <v>440</v>
      </c>
      <c r="N44" s="478">
        <f t="shared" si="1"/>
        <v>5325.88</v>
      </c>
      <c r="O44" s="458">
        <f>SUM('MTRT 2014'!B43:M43)</f>
        <v>0</v>
      </c>
      <c r="P44" s="599" t="e">
        <f t="shared" si="2"/>
        <v>#DIV/0!</v>
      </c>
      <c r="Q44" s="599">
        <f t="shared" si="0"/>
        <v>5.7217054979238663E-4</v>
      </c>
    </row>
    <row r="45" spans="1:17" s="154" customFormat="1">
      <c r="A45" s="560" t="s">
        <v>193</v>
      </c>
      <c r="B45" s="460">
        <v>754.04</v>
      </c>
      <c r="C45" s="460">
        <v>1977.83</v>
      </c>
      <c r="D45" s="460">
        <v>4.8499999999999996</v>
      </c>
      <c r="E45" s="460">
        <v>108.53</v>
      </c>
      <c r="F45" s="460">
        <v>442.05</v>
      </c>
      <c r="G45" s="460">
        <v>610.51</v>
      </c>
      <c r="H45" s="460">
        <v>2039.96</v>
      </c>
      <c r="I45" s="460">
        <v>4631.12</v>
      </c>
      <c r="J45" s="460">
        <v>88.86</v>
      </c>
      <c r="K45" s="460">
        <v>3788.05</v>
      </c>
      <c r="L45" s="460">
        <v>10292.879999999999</v>
      </c>
      <c r="M45" s="460">
        <v>296</v>
      </c>
      <c r="N45" s="460">
        <f t="shared" si="1"/>
        <v>25034.68</v>
      </c>
      <c r="O45" s="458">
        <f>SUM('MTRT 2014'!B44:M44)</f>
        <v>0</v>
      </c>
      <c r="P45" s="598" t="e">
        <f t="shared" si="2"/>
        <v>#DIV/0!</v>
      </c>
      <c r="Q45" s="598">
        <f t="shared" si="0"/>
        <v>2.6895286073806519E-3</v>
      </c>
    </row>
    <row r="46" spans="1:17" s="154" customFormat="1">
      <c r="A46" s="560" t="s">
        <v>194</v>
      </c>
      <c r="B46" s="460">
        <v>4197.8999999999996</v>
      </c>
      <c r="C46" s="460">
        <v>6951.35</v>
      </c>
      <c r="D46" s="460">
        <v>187.1</v>
      </c>
      <c r="E46" s="460">
        <v>2045.88</v>
      </c>
      <c r="F46" s="460">
        <v>5407.68</v>
      </c>
      <c r="G46" s="460">
        <v>3275.82</v>
      </c>
      <c r="H46" s="460">
        <v>8569.32</v>
      </c>
      <c r="I46" s="460">
        <v>34388.080000000002</v>
      </c>
      <c r="J46" s="460">
        <v>33921.03</v>
      </c>
      <c r="K46" s="460">
        <v>39164.1</v>
      </c>
      <c r="L46" s="460">
        <v>59238</v>
      </c>
      <c r="M46" s="460">
        <v>12533</v>
      </c>
      <c r="N46" s="460">
        <f t="shared" si="1"/>
        <v>209879.26</v>
      </c>
      <c r="O46" s="458">
        <f>SUM('MTRT 2014'!B45:M45)</f>
        <v>0</v>
      </c>
      <c r="P46" s="598" t="e">
        <f t="shared" si="2"/>
        <v>#DIV/0!</v>
      </c>
      <c r="Q46" s="598">
        <f t="shared" si="0"/>
        <v>2.2547772684367515E-2</v>
      </c>
    </row>
    <row r="47" spans="1:17">
      <c r="A47" s="560" t="s">
        <v>195</v>
      </c>
      <c r="B47" s="460">
        <v>842743.41</v>
      </c>
      <c r="C47" s="460">
        <v>1149541.8799999999</v>
      </c>
      <c r="D47" s="460">
        <v>1379327</v>
      </c>
      <c r="E47" s="460">
        <v>1425318.73</v>
      </c>
      <c r="F47" s="460">
        <v>1748051.12</v>
      </c>
      <c r="G47" s="460">
        <v>1195041.33</v>
      </c>
      <c r="H47" s="460">
        <v>1219977.6499999999</v>
      </c>
      <c r="I47" s="460">
        <v>1462633.72</v>
      </c>
      <c r="J47" s="460">
        <v>1563505.05</v>
      </c>
      <c r="K47" s="460">
        <v>1575577.94</v>
      </c>
      <c r="L47" s="460">
        <v>1534120</v>
      </c>
      <c r="M47" s="460">
        <v>1375615</v>
      </c>
      <c r="N47" s="460">
        <f t="shared" si="1"/>
        <v>16471452.83</v>
      </c>
      <c r="O47" s="602">
        <f>SUM('MTRT 2014'!B46:M46)</f>
        <v>0</v>
      </c>
      <c r="P47" s="598" t="e">
        <f t="shared" si="2"/>
        <v>#DIV/0!</v>
      </c>
      <c r="Q47" s="598">
        <f t="shared" si="0"/>
        <v>1.7695630058545184</v>
      </c>
    </row>
    <row r="48" spans="1:17">
      <c r="A48" s="241" t="s">
        <v>196</v>
      </c>
      <c r="B48" s="489">
        <v>980.32</v>
      </c>
      <c r="C48" s="489">
        <v>2572.25</v>
      </c>
      <c r="D48" s="489">
        <v>1245.1600000000001</v>
      </c>
      <c r="E48" s="489">
        <v>4077.13</v>
      </c>
      <c r="F48" s="489">
        <v>4915.58</v>
      </c>
      <c r="G48" s="489">
        <v>1763.61</v>
      </c>
      <c r="H48" s="489">
        <v>1415.03</v>
      </c>
      <c r="I48" s="489">
        <v>1264.0999999999999</v>
      </c>
      <c r="J48" s="489">
        <v>2549.2199999999998</v>
      </c>
      <c r="K48" s="489">
        <v>2478.52</v>
      </c>
      <c r="L48" s="489">
        <v>2112.79</v>
      </c>
      <c r="M48" s="489">
        <v>2889</v>
      </c>
      <c r="N48" s="603">
        <f t="shared" si="1"/>
        <v>28262.710000000003</v>
      </c>
      <c r="O48" s="607">
        <f>SUM('MTRT 2014'!B47:M47)</f>
        <v>24785.929999999997</v>
      </c>
      <c r="P48" s="604">
        <f t="shared" si="2"/>
        <v>0.14027232385470323</v>
      </c>
      <c r="Q48" s="623">
        <f t="shared" si="0"/>
        <v>3.0363226958404592E-3</v>
      </c>
    </row>
    <row r="49" spans="1:17">
      <c r="A49" s="241" t="s">
        <v>198</v>
      </c>
      <c r="B49" s="489">
        <v>4516.55</v>
      </c>
      <c r="C49" s="489">
        <v>4523.2700000000004</v>
      </c>
      <c r="D49" s="489">
        <v>5484.39</v>
      </c>
      <c r="E49" s="489">
        <v>5938.45</v>
      </c>
      <c r="F49" s="489">
        <v>5840.62</v>
      </c>
      <c r="G49" s="489">
        <v>6922.33</v>
      </c>
      <c r="H49" s="489">
        <v>5732.55</v>
      </c>
      <c r="I49" s="489">
        <v>7391.42</v>
      </c>
      <c r="J49" s="489">
        <v>6919.6</v>
      </c>
      <c r="K49" s="489">
        <v>8399.31</v>
      </c>
      <c r="L49" s="489">
        <v>6443.13</v>
      </c>
      <c r="M49" s="489">
        <v>5585</v>
      </c>
      <c r="N49" s="603">
        <f t="shared" si="1"/>
        <v>73696.62</v>
      </c>
      <c r="O49" s="608">
        <f>SUM('MTRT 2014'!B48:M48)</f>
        <v>70205.48</v>
      </c>
      <c r="P49" s="604">
        <f t="shared" si="2"/>
        <v>4.9727457172858758E-2</v>
      </c>
      <c r="Q49" s="623">
        <f t="shared" si="0"/>
        <v>7.9173837156001625E-3</v>
      </c>
    </row>
    <row r="50" spans="1:17">
      <c r="A50" s="241" t="s">
        <v>199</v>
      </c>
      <c r="B50" s="489">
        <v>4988.74</v>
      </c>
      <c r="C50" s="489">
        <v>6334.97</v>
      </c>
      <c r="D50" s="489">
        <v>11097.71</v>
      </c>
      <c r="E50" s="489">
        <v>8444.08</v>
      </c>
      <c r="F50" s="489">
        <v>7914.33</v>
      </c>
      <c r="G50" s="489">
        <v>5700.08</v>
      </c>
      <c r="H50" s="489">
        <v>6676.14</v>
      </c>
      <c r="I50" s="489">
        <v>7742.98</v>
      </c>
      <c r="J50" s="489">
        <v>7492.1</v>
      </c>
      <c r="K50" s="489">
        <v>7625.1</v>
      </c>
      <c r="L50" s="489">
        <v>6910.83</v>
      </c>
      <c r="M50" s="489">
        <v>5894</v>
      </c>
      <c r="N50" s="603">
        <f t="shared" si="1"/>
        <v>86821.060000000012</v>
      </c>
      <c r="O50" s="608">
        <f>SUM('MTRT 2014'!B49:M49)</f>
        <v>80102.67</v>
      </c>
      <c r="P50" s="604">
        <f t="shared" si="2"/>
        <v>8.3872235469804046E-2</v>
      </c>
      <c r="Q50" s="623">
        <f t="shared" si="0"/>
        <v>9.3273700559828223E-3</v>
      </c>
    </row>
    <row r="51" spans="1:17">
      <c r="A51" s="241" t="s">
        <v>200</v>
      </c>
      <c r="B51" s="489">
        <v>4731.6400000000003</v>
      </c>
      <c r="C51" s="489">
        <v>10953.05</v>
      </c>
      <c r="D51" s="489">
        <v>8627.41</v>
      </c>
      <c r="E51" s="489">
        <v>18158.189999999999</v>
      </c>
      <c r="F51" s="489">
        <v>12511.3</v>
      </c>
      <c r="G51" s="489">
        <v>11248.3</v>
      </c>
      <c r="H51" s="489">
        <v>12091.35</v>
      </c>
      <c r="I51" s="489">
        <v>11528.15</v>
      </c>
      <c r="J51" s="489">
        <v>14477.94</v>
      </c>
      <c r="K51" s="489">
        <v>13338.07</v>
      </c>
      <c r="L51" s="489">
        <v>8777.7999999999993</v>
      </c>
      <c r="M51" s="489">
        <v>15425</v>
      </c>
      <c r="N51" s="603">
        <f t="shared" si="1"/>
        <v>141868.20000000001</v>
      </c>
      <c r="O51" s="608">
        <f>SUM('MTRT 2014'!B50:M50)</f>
        <v>124054.74000000002</v>
      </c>
      <c r="P51" s="604">
        <f t="shared" si="2"/>
        <v>0.14359354588143902</v>
      </c>
      <c r="Q51" s="623">
        <f t="shared" si="0"/>
        <v>1.5241200701490884E-2</v>
      </c>
    </row>
    <row r="52" spans="1:17">
      <c r="A52" s="241" t="s">
        <v>201</v>
      </c>
      <c r="B52" s="489">
        <v>6986.3</v>
      </c>
      <c r="C52" s="489">
        <v>11359.56</v>
      </c>
      <c r="D52" s="489">
        <v>14032.42</v>
      </c>
      <c r="E52" s="489">
        <v>14236.96</v>
      </c>
      <c r="F52" s="489">
        <v>18574.29</v>
      </c>
      <c r="G52" s="489">
        <v>14431.34</v>
      </c>
      <c r="H52" s="489">
        <v>15491.18</v>
      </c>
      <c r="I52" s="489">
        <v>17664.18</v>
      </c>
      <c r="J52" s="489">
        <v>17226.79</v>
      </c>
      <c r="K52" s="489">
        <v>21353.33</v>
      </c>
      <c r="L52" s="489">
        <v>15031.76</v>
      </c>
      <c r="M52" s="489">
        <v>14087</v>
      </c>
      <c r="N52" s="603">
        <f t="shared" si="1"/>
        <v>180475.11</v>
      </c>
      <c r="O52" s="608">
        <f>SUM('MTRT 2014'!B51:M51)</f>
        <v>102832.58</v>
      </c>
      <c r="P52" s="604">
        <f t="shared" si="2"/>
        <v>0.75503823788141844</v>
      </c>
      <c r="Q52" s="623">
        <f t="shared" si="0"/>
        <v>1.9388822675790937E-2</v>
      </c>
    </row>
    <row r="53" spans="1:17">
      <c r="A53" s="241" t="s">
        <v>202</v>
      </c>
      <c r="B53" s="489">
        <v>160118.18</v>
      </c>
      <c r="C53" s="489">
        <v>204707.22</v>
      </c>
      <c r="D53" s="489">
        <v>225752.58</v>
      </c>
      <c r="E53" s="489">
        <v>218182.6</v>
      </c>
      <c r="F53" s="489">
        <v>309086.78000000003</v>
      </c>
      <c r="G53" s="489">
        <v>215300.38</v>
      </c>
      <c r="H53" s="489">
        <v>233543.36</v>
      </c>
      <c r="I53" s="489">
        <v>277937.62</v>
      </c>
      <c r="J53" s="489">
        <v>310758.46000000002</v>
      </c>
      <c r="K53" s="489">
        <v>307272.88</v>
      </c>
      <c r="L53" s="489">
        <v>300077.84000000003</v>
      </c>
      <c r="M53" s="489">
        <v>282902</v>
      </c>
      <c r="N53" s="603">
        <f t="shared" si="1"/>
        <v>3045639.8999999994</v>
      </c>
      <c r="O53" s="608">
        <f>SUM('MTRT 2014'!B52:M52)</f>
        <v>2650719.37</v>
      </c>
      <c r="P53" s="604">
        <f t="shared" si="2"/>
        <v>0.14898617125207014</v>
      </c>
      <c r="Q53" s="623">
        <f t="shared" si="0"/>
        <v>0.32719953435913485</v>
      </c>
    </row>
    <row r="54" spans="1:17">
      <c r="A54" s="241" t="s">
        <v>203</v>
      </c>
      <c r="B54" s="489">
        <v>29266.6</v>
      </c>
      <c r="C54" s="489">
        <v>28414.41</v>
      </c>
      <c r="D54" s="489">
        <v>41966.28</v>
      </c>
      <c r="E54" s="489">
        <v>36945.78</v>
      </c>
      <c r="F54" s="489">
        <v>37579.300000000003</v>
      </c>
      <c r="G54" s="489">
        <v>32369.09</v>
      </c>
      <c r="H54" s="489">
        <v>35223.040000000001</v>
      </c>
      <c r="I54" s="489">
        <v>53457.69</v>
      </c>
      <c r="J54" s="489">
        <v>41014.080000000002</v>
      </c>
      <c r="K54" s="489">
        <v>38940.959999999999</v>
      </c>
      <c r="L54" s="489">
        <v>40994.879999999997</v>
      </c>
      <c r="M54" s="489">
        <v>31981</v>
      </c>
      <c r="N54" s="603">
        <f t="shared" si="1"/>
        <v>448153.11000000004</v>
      </c>
      <c r="O54" s="608">
        <f>SUM('MTRT 2014'!B53:M53)</f>
        <v>390470.79</v>
      </c>
      <c r="P54" s="604">
        <f t="shared" si="2"/>
        <v>0.14772505774375611</v>
      </c>
      <c r="Q54" s="623">
        <f t="shared" si="0"/>
        <v>4.8146036211831271E-2</v>
      </c>
    </row>
    <row r="55" spans="1:17">
      <c r="A55" s="241" t="s">
        <v>330</v>
      </c>
      <c r="B55" s="489">
        <v>7536.31</v>
      </c>
      <c r="C55" s="489">
        <v>2962.88</v>
      </c>
      <c r="D55" s="489">
        <v>5989.67</v>
      </c>
      <c r="E55" s="489">
        <v>5691.27</v>
      </c>
      <c r="F55" s="489">
        <v>6938.19</v>
      </c>
      <c r="G55" s="489">
        <v>7801.78</v>
      </c>
      <c r="H55" s="489">
        <v>6491.83</v>
      </c>
      <c r="I55" s="489">
        <v>5524.59</v>
      </c>
      <c r="J55" s="489">
        <v>5547.23</v>
      </c>
      <c r="K55" s="489">
        <v>4879.0200000000004</v>
      </c>
      <c r="L55" s="485">
        <v>8706.7199999999993</v>
      </c>
      <c r="M55" s="489">
        <v>4153</v>
      </c>
      <c r="N55" s="603">
        <f t="shared" si="1"/>
        <v>72222.490000000005</v>
      </c>
      <c r="O55" s="608">
        <f>SUM('MTRT 2014'!B54:M54)</f>
        <v>31514.04</v>
      </c>
      <c r="P55" s="604">
        <f t="shared" si="2"/>
        <v>1.2917559919324848</v>
      </c>
      <c r="Q55" s="623">
        <f t="shared" si="0"/>
        <v>7.7590148127023419E-3</v>
      </c>
    </row>
    <row r="56" spans="1:17" s="154" customFormat="1">
      <c r="A56" s="241" t="s">
        <v>204</v>
      </c>
      <c r="B56" s="489">
        <v>1121.04</v>
      </c>
      <c r="C56" s="489">
        <v>1821.71</v>
      </c>
      <c r="D56" s="489">
        <v>2774.79</v>
      </c>
      <c r="E56" s="489">
        <v>2632.76</v>
      </c>
      <c r="F56" s="489">
        <v>4292</v>
      </c>
      <c r="G56" s="489">
        <v>2879.41</v>
      </c>
      <c r="H56" s="489">
        <v>2756.03</v>
      </c>
      <c r="I56" s="489">
        <v>2798.71</v>
      </c>
      <c r="J56" s="489">
        <v>3530.76</v>
      </c>
      <c r="K56" s="489">
        <v>4253.6899999999996</v>
      </c>
      <c r="L56" s="485">
        <v>4605.21</v>
      </c>
      <c r="M56" s="489">
        <v>2654</v>
      </c>
      <c r="N56" s="603">
        <f t="shared" si="1"/>
        <v>36120.11</v>
      </c>
      <c r="O56" s="608">
        <f>SUM('MTRT 2014'!B55:M55)</f>
        <v>33694.629999999997</v>
      </c>
      <c r="P56" s="604">
        <f t="shared" si="2"/>
        <v>7.1984170771425715E-2</v>
      </c>
      <c r="Q56" s="623">
        <f t="shared" si="0"/>
        <v>3.8804597920459121E-3</v>
      </c>
    </row>
    <row r="57" spans="1:17" s="154" customFormat="1">
      <c r="A57" s="241" t="s">
        <v>205</v>
      </c>
      <c r="B57" s="485">
        <v>2168.6799999999998</v>
      </c>
      <c r="C57" s="485">
        <v>1909.32</v>
      </c>
      <c r="D57" s="485">
        <v>2452.92</v>
      </c>
      <c r="E57" s="485">
        <v>2565.02</v>
      </c>
      <c r="F57" s="485">
        <v>3067.27</v>
      </c>
      <c r="G57" s="485">
        <v>2202.5700000000002</v>
      </c>
      <c r="H57" s="485">
        <v>2640.45</v>
      </c>
      <c r="I57" s="485">
        <v>3117.05</v>
      </c>
      <c r="J57" s="485">
        <v>2993.48</v>
      </c>
      <c r="K57" s="485">
        <v>3533.58</v>
      </c>
      <c r="L57" s="485">
        <v>2290.29</v>
      </c>
      <c r="M57" s="485">
        <v>2966</v>
      </c>
      <c r="N57" s="603">
        <f t="shared" si="1"/>
        <v>31906.629999999997</v>
      </c>
      <c r="O57" s="608">
        <f>SUM('MTRT 2014'!B56:M56)</f>
        <v>29580.589999999997</v>
      </c>
      <c r="P57" s="604">
        <f t="shared" si="2"/>
        <v>7.8633996144093166E-2</v>
      </c>
      <c r="Q57" s="623">
        <f t="shared" si="0"/>
        <v>3.4277967263855466E-3</v>
      </c>
    </row>
    <row r="58" spans="1:17" s="154" customFormat="1">
      <c r="A58" s="241" t="s">
        <v>206</v>
      </c>
      <c r="B58" s="485">
        <v>21178.77</v>
      </c>
      <c r="C58" s="485">
        <v>20971.919999999998</v>
      </c>
      <c r="D58" s="485">
        <v>24921.93</v>
      </c>
      <c r="E58" s="485">
        <v>27195.53</v>
      </c>
      <c r="F58" s="485">
        <v>30175.68</v>
      </c>
      <c r="G58" s="485">
        <v>24880.9</v>
      </c>
      <c r="H58" s="485">
        <v>27666.1</v>
      </c>
      <c r="I58" s="485">
        <v>31127.48</v>
      </c>
      <c r="J58" s="485">
        <v>27815.85</v>
      </c>
      <c r="K58" s="485">
        <v>37690.050000000003</v>
      </c>
      <c r="L58" s="485">
        <v>42968.4</v>
      </c>
      <c r="M58" s="485">
        <v>24805</v>
      </c>
      <c r="N58" s="603">
        <f t="shared" si="1"/>
        <v>341397.61000000004</v>
      </c>
      <c r="O58" s="606">
        <f>SUM('MTRT 2014'!B57:M57)</f>
        <v>329017.14</v>
      </c>
      <c r="P58" s="604">
        <f t="shared" si="2"/>
        <v>3.7628647553133554E-2</v>
      </c>
      <c r="Q58" s="623">
        <f t="shared" si="0"/>
        <v>3.6677067115952068E-2</v>
      </c>
    </row>
    <row r="59" spans="1:17">
      <c r="A59" s="560" t="s">
        <v>207</v>
      </c>
      <c r="B59" s="460">
        <v>21611.46</v>
      </c>
      <c r="C59" s="460">
        <v>26707.07</v>
      </c>
      <c r="D59" s="460">
        <v>8570.69</v>
      </c>
      <c r="E59" s="460">
        <v>21749.07</v>
      </c>
      <c r="F59" s="460">
        <v>40040.79</v>
      </c>
      <c r="G59" s="460">
        <v>50586.06</v>
      </c>
      <c r="H59" s="460">
        <v>73751.289999999994</v>
      </c>
      <c r="I59" s="460">
        <v>106949.72</v>
      </c>
      <c r="J59" s="460">
        <v>77920.240000000005</v>
      </c>
      <c r="K59" s="460">
        <v>98669.73</v>
      </c>
      <c r="L59" s="460">
        <v>106135.48</v>
      </c>
      <c r="M59" s="460">
        <v>41697</v>
      </c>
      <c r="N59" s="460">
        <f t="shared" si="1"/>
        <v>674388.6</v>
      </c>
      <c r="O59" s="602">
        <f>SUM('MTRT 2014'!B58:M58)</f>
        <v>0</v>
      </c>
      <c r="P59" s="598" t="e">
        <f t="shared" si="2"/>
        <v>#DIV/0!</v>
      </c>
      <c r="Q59" s="598">
        <f t="shared" si="0"/>
        <v>7.2450993269791639E-2</v>
      </c>
    </row>
    <row r="60" spans="1:17">
      <c r="A60" s="241" t="s">
        <v>208</v>
      </c>
      <c r="B60" s="489">
        <v>752.28</v>
      </c>
      <c r="C60" s="489">
        <v>1932.18</v>
      </c>
      <c r="D60" s="489">
        <v>407.15</v>
      </c>
      <c r="E60" s="489">
        <v>435.79</v>
      </c>
      <c r="F60" s="489">
        <v>2204.79</v>
      </c>
      <c r="G60" s="489">
        <v>1706.77</v>
      </c>
      <c r="H60" s="489">
        <v>2227.3000000000002</v>
      </c>
      <c r="I60" s="489">
        <v>5083.95</v>
      </c>
      <c r="J60" s="489">
        <v>3422.68</v>
      </c>
      <c r="K60" s="489">
        <v>2684.66</v>
      </c>
      <c r="L60" s="489">
        <v>5445.11</v>
      </c>
      <c r="M60" s="489">
        <v>1526</v>
      </c>
      <c r="N60" s="603">
        <f t="shared" si="1"/>
        <v>27828.660000000003</v>
      </c>
      <c r="O60" s="607">
        <f>SUM('MTRT 2014'!B59:M59)</f>
        <v>26481.39</v>
      </c>
      <c r="P60" s="604">
        <f t="shared" si="2"/>
        <v>5.0876105823750351E-2</v>
      </c>
      <c r="Q60" s="623">
        <f t="shared" si="0"/>
        <v>2.9896917865564749E-3</v>
      </c>
    </row>
    <row r="61" spans="1:17" s="154" customFormat="1">
      <c r="A61" s="241" t="s">
        <v>209</v>
      </c>
      <c r="B61" s="489">
        <v>1118.3399999999999</v>
      </c>
      <c r="C61" s="489">
        <v>1049.8</v>
      </c>
      <c r="D61" s="489">
        <v>353.68</v>
      </c>
      <c r="E61" s="489">
        <v>1441.45</v>
      </c>
      <c r="F61" s="489">
        <v>1829.49</v>
      </c>
      <c r="G61" s="489">
        <v>2413.61</v>
      </c>
      <c r="H61" s="489">
        <v>3089.16</v>
      </c>
      <c r="I61" s="489">
        <v>5359.77</v>
      </c>
      <c r="J61" s="489">
        <v>2640.13</v>
      </c>
      <c r="K61" s="489">
        <v>4432.71</v>
      </c>
      <c r="L61" s="489">
        <v>4425.24</v>
      </c>
      <c r="M61" s="489">
        <v>1759</v>
      </c>
      <c r="N61" s="603">
        <f t="shared" si="1"/>
        <v>29912.379999999997</v>
      </c>
      <c r="O61" s="606">
        <f>SUM('MTRT 2014'!B60:M60)</f>
        <v>24978</v>
      </c>
      <c r="P61" s="604">
        <f t="shared" si="2"/>
        <v>0.19754904315797894</v>
      </c>
      <c r="Q61" s="623">
        <f t="shared" si="0"/>
        <v>3.2135502321116488E-3</v>
      </c>
    </row>
    <row r="62" spans="1:17" s="154" customFormat="1">
      <c r="A62" s="560" t="s">
        <v>210</v>
      </c>
      <c r="B62" s="460">
        <v>1615.67</v>
      </c>
      <c r="C62" s="460">
        <v>13891.53</v>
      </c>
      <c r="D62" s="460">
        <v>4080.65</v>
      </c>
      <c r="E62" s="460">
        <v>3455.5</v>
      </c>
      <c r="F62" s="460">
        <v>13754.77</v>
      </c>
      <c r="G62" s="460">
        <v>5381.3</v>
      </c>
      <c r="H62" s="460">
        <v>11912.83</v>
      </c>
      <c r="I62" s="460">
        <v>16066.96</v>
      </c>
      <c r="J62" s="460">
        <v>6483.5</v>
      </c>
      <c r="K62" s="460">
        <v>7075.09</v>
      </c>
      <c r="L62" s="460">
        <v>19043.849999999999</v>
      </c>
      <c r="M62" s="460">
        <v>5549</v>
      </c>
      <c r="N62" s="460">
        <f t="shared" si="1"/>
        <v>108310.65</v>
      </c>
      <c r="O62" s="458">
        <f>SUM('MTRT 2014'!B61:M61)</f>
        <v>0</v>
      </c>
      <c r="P62" s="598" t="e">
        <f t="shared" si="2"/>
        <v>#DIV/0!</v>
      </c>
      <c r="Q62" s="598">
        <f t="shared" si="0"/>
        <v>1.1636042148691062E-2</v>
      </c>
    </row>
    <row r="63" spans="1:17">
      <c r="A63" s="560" t="s">
        <v>211</v>
      </c>
      <c r="B63" s="460">
        <v>21397.59</v>
      </c>
      <c r="C63" s="460">
        <v>27612.98</v>
      </c>
      <c r="D63" s="460">
        <v>36581.379999999997</v>
      </c>
      <c r="E63" s="460">
        <v>17599.310000000001</v>
      </c>
      <c r="F63" s="460">
        <v>36561.47</v>
      </c>
      <c r="G63" s="460">
        <v>35336.01</v>
      </c>
      <c r="H63" s="460">
        <v>49818.58</v>
      </c>
      <c r="I63" s="460">
        <v>71095.399999999994</v>
      </c>
      <c r="J63" s="460">
        <v>58112.160000000003</v>
      </c>
      <c r="K63" s="460">
        <v>57450.74</v>
      </c>
      <c r="L63" s="460">
        <v>63024.05</v>
      </c>
      <c r="M63" s="460">
        <v>36304</v>
      </c>
      <c r="N63" s="460">
        <f t="shared" si="1"/>
        <v>510893.67</v>
      </c>
      <c r="O63" s="602">
        <f>SUM('MTRT 2014'!B62:M62)</f>
        <v>0</v>
      </c>
      <c r="P63" s="598" t="e">
        <f t="shared" si="2"/>
        <v>#DIV/0!</v>
      </c>
      <c r="Q63" s="598">
        <f t="shared" si="0"/>
        <v>5.4886387235414641E-2</v>
      </c>
    </row>
    <row r="64" spans="1:17">
      <c r="A64" s="241" t="s">
        <v>212</v>
      </c>
      <c r="B64" s="489">
        <v>3598.24</v>
      </c>
      <c r="C64" s="489">
        <v>5607.67</v>
      </c>
      <c r="D64" s="489">
        <v>7588.85</v>
      </c>
      <c r="E64" s="489">
        <v>3517.49</v>
      </c>
      <c r="F64" s="489">
        <v>6743.68</v>
      </c>
      <c r="G64" s="489">
        <v>6257.55</v>
      </c>
      <c r="H64" s="489">
        <v>7476.39</v>
      </c>
      <c r="I64" s="489">
        <v>12817.45</v>
      </c>
      <c r="J64" s="489">
        <v>11218.4</v>
      </c>
      <c r="K64" s="489">
        <v>11202.79</v>
      </c>
      <c r="L64" s="489">
        <v>9955.66</v>
      </c>
      <c r="M64" s="489">
        <v>6563</v>
      </c>
      <c r="N64" s="603">
        <f t="shared" si="1"/>
        <v>92547.170000000013</v>
      </c>
      <c r="O64" s="607">
        <f>SUM('MTRT 2014'!B63:M63)</f>
        <v>73880.03</v>
      </c>
      <c r="P64" s="604">
        <f t="shared" si="2"/>
        <v>0.25266827855917251</v>
      </c>
      <c r="Q64" s="623">
        <f t="shared" si="0"/>
        <v>9.9425381609479519E-3</v>
      </c>
    </row>
    <row r="65" spans="1:17" s="154" customFormat="1">
      <c r="A65" s="241" t="s">
        <v>213</v>
      </c>
      <c r="B65" s="489">
        <v>1266.3399999999999</v>
      </c>
      <c r="C65" s="489">
        <v>571.66999999999996</v>
      </c>
      <c r="D65" s="489">
        <v>550.41999999999996</v>
      </c>
      <c r="E65" s="489">
        <v>533.97</v>
      </c>
      <c r="F65" s="489">
        <v>1654.97</v>
      </c>
      <c r="G65" s="489">
        <v>912.21</v>
      </c>
      <c r="H65" s="489">
        <v>2305.36</v>
      </c>
      <c r="I65" s="489">
        <v>2239.9699999999998</v>
      </c>
      <c r="J65" s="489">
        <v>1880.13</v>
      </c>
      <c r="K65" s="489">
        <v>1486.81</v>
      </c>
      <c r="L65" s="489">
        <v>3322.91</v>
      </c>
      <c r="M65" s="489">
        <v>1639</v>
      </c>
      <c r="N65" s="603">
        <f t="shared" si="1"/>
        <v>18363.760000000002</v>
      </c>
      <c r="O65" s="606">
        <f>SUM('MTRT 2014'!B64:M64)</f>
        <v>15711.929999999998</v>
      </c>
      <c r="P65" s="604">
        <f t="shared" si="2"/>
        <v>0.16877811955628652</v>
      </c>
      <c r="Q65" s="623">
        <f t="shared" si="0"/>
        <v>1.9728575663468645E-3</v>
      </c>
    </row>
    <row r="66" spans="1:17" s="154" customFormat="1">
      <c r="A66" s="560" t="s">
        <v>214</v>
      </c>
      <c r="B66" s="460">
        <v>315515.78999999998</v>
      </c>
      <c r="C66" s="460">
        <v>1170324.04</v>
      </c>
      <c r="D66" s="460">
        <v>1452316.24</v>
      </c>
      <c r="E66" s="460">
        <v>1087295.6399999999</v>
      </c>
      <c r="F66" s="460">
        <v>1380847.36</v>
      </c>
      <c r="G66" s="460">
        <v>219290.71</v>
      </c>
      <c r="H66" s="460">
        <v>186934.73</v>
      </c>
      <c r="I66" s="460">
        <v>379368.66</v>
      </c>
      <c r="J66" s="460">
        <v>442840.81</v>
      </c>
      <c r="K66" s="460">
        <v>404564.3</v>
      </c>
      <c r="L66" s="460">
        <v>355082.21</v>
      </c>
      <c r="M66" s="460">
        <v>321632</v>
      </c>
      <c r="N66" s="460">
        <f t="shared" si="1"/>
        <v>7716012.4900000002</v>
      </c>
      <c r="O66" s="458">
        <f>SUM('MTRT 2014'!B65:M65)</f>
        <v>0</v>
      </c>
      <c r="P66" s="598" t="e">
        <f t="shared" si="2"/>
        <v>#DIV/0!</v>
      </c>
      <c r="Q66" s="598">
        <f t="shared" si="0"/>
        <v>0.82894753704706492</v>
      </c>
    </row>
    <row r="67" spans="1:17">
      <c r="A67" s="560" t="s">
        <v>215</v>
      </c>
      <c r="B67" s="460">
        <v>18138.689999999999</v>
      </c>
      <c r="C67" s="460">
        <v>17862.41</v>
      </c>
      <c r="D67" s="460">
        <v>26285.22</v>
      </c>
      <c r="E67" s="460">
        <v>16752.75</v>
      </c>
      <c r="F67" s="460">
        <v>32963.78</v>
      </c>
      <c r="G67" s="460">
        <v>30923.93</v>
      </c>
      <c r="H67" s="460">
        <v>39729.71</v>
      </c>
      <c r="I67" s="460">
        <v>42077.8</v>
      </c>
      <c r="J67" s="460">
        <v>40564.339999999997</v>
      </c>
      <c r="K67" s="460">
        <v>41032.25</v>
      </c>
      <c r="L67" s="460">
        <v>37232.01</v>
      </c>
      <c r="M67" s="460">
        <v>34159</v>
      </c>
      <c r="N67" s="460">
        <f t="shared" si="1"/>
        <v>377721.89</v>
      </c>
      <c r="O67" s="458">
        <f>SUM('MTRT 2014'!B66:M66)</f>
        <v>0</v>
      </c>
      <c r="P67" s="598" t="e">
        <f t="shared" si="2"/>
        <v>#DIV/0!</v>
      </c>
      <c r="Q67" s="598">
        <f t="shared" si="0"/>
        <v>4.0579461322808506E-2</v>
      </c>
    </row>
    <row r="68" spans="1:17" s="154" customFormat="1">
      <c r="A68" s="241" t="s">
        <v>216</v>
      </c>
      <c r="B68" s="489">
        <v>2092.6999999999998</v>
      </c>
      <c r="C68" s="489">
        <v>1424.4</v>
      </c>
      <c r="D68" s="489">
        <v>5351.36</v>
      </c>
      <c r="E68" s="489">
        <v>3114.2</v>
      </c>
      <c r="F68" s="489">
        <v>3961.12</v>
      </c>
      <c r="G68" s="489">
        <v>3070.87</v>
      </c>
      <c r="H68" s="489">
        <v>1154.31</v>
      </c>
      <c r="I68" s="489">
        <v>3562.04</v>
      </c>
      <c r="J68" s="489">
        <v>4370.04</v>
      </c>
      <c r="K68" s="489">
        <v>5236.3</v>
      </c>
      <c r="L68" s="489">
        <v>3564.6</v>
      </c>
      <c r="M68" s="489">
        <v>4145</v>
      </c>
      <c r="N68" s="487">
        <f t="shared" si="1"/>
        <v>41046.94</v>
      </c>
      <c r="O68" s="607">
        <f>SUM('MTRT 2014'!B67:M67)</f>
        <v>32772.33</v>
      </c>
      <c r="P68" s="527">
        <f t="shared" si="2"/>
        <v>0.25248769312404695</v>
      </c>
      <c r="Q68" s="566">
        <f t="shared" si="0"/>
        <v>4.4097595565606258E-3</v>
      </c>
    </row>
    <row r="69" spans="1:17">
      <c r="A69" s="560" t="s">
        <v>217</v>
      </c>
      <c r="B69" s="460">
        <v>56582.47</v>
      </c>
      <c r="C69" s="460">
        <v>52408.53</v>
      </c>
      <c r="D69" s="460">
        <v>48381.99</v>
      </c>
      <c r="E69" s="460">
        <v>30681.599999999999</v>
      </c>
      <c r="F69" s="460">
        <v>46183.21</v>
      </c>
      <c r="G69" s="460">
        <v>38701.800000000003</v>
      </c>
      <c r="H69" s="460">
        <v>51758.7</v>
      </c>
      <c r="I69" s="460">
        <v>73580.45</v>
      </c>
      <c r="J69" s="460">
        <v>66815.48</v>
      </c>
      <c r="K69" s="460">
        <v>49122.69</v>
      </c>
      <c r="L69" s="460">
        <v>69425.13</v>
      </c>
      <c r="M69" s="460">
        <v>40820</v>
      </c>
      <c r="N69" s="460">
        <f t="shared" si="1"/>
        <v>624462.05000000005</v>
      </c>
      <c r="O69" s="602">
        <f>SUM('MTRT 2014'!B68:M68)</f>
        <v>0</v>
      </c>
      <c r="P69" s="598" t="e">
        <f t="shared" si="2"/>
        <v>#DIV/0!</v>
      </c>
      <c r="Q69" s="598">
        <f t="shared" ref="Q69:Q102" si="3">N69/$N$102</f>
        <v>6.7087278435297243E-2</v>
      </c>
    </row>
    <row r="70" spans="1:17">
      <c r="A70" s="241" t="s">
        <v>218</v>
      </c>
      <c r="B70" s="489">
        <v>612.49</v>
      </c>
      <c r="C70" s="489">
        <v>507.95</v>
      </c>
      <c r="D70" s="489">
        <v>294.2</v>
      </c>
      <c r="E70" s="489">
        <v>324.39</v>
      </c>
      <c r="F70" s="489">
        <v>1588.87</v>
      </c>
      <c r="G70" s="489">
        <v>402.17</v>
      </c>
      <c r="H70" s="489">
        <v>460.41</v>
      </c>
      <c r="I70" s="489">
        <v>2500.4499999999998</v>
      </c>
      <c r="J70" s="489">
        <v>387.33</v>
      </c>
      <c r="K70" s="489">
        <v>304.66000000000003</v>
      </c>
      <c r="L70" s="489">
        <v>323.08999999999997</v>
      </c>
      <c r="M70" s="489">
        <v>307</v>
      </c>
      <c r="N70" s="603">
        <f t="shared" si="1"/>
        <v>8013.01</v>
      </c>
      <c r="O70" s="607">
        <f>SUM('MTRT 2014'!B69:M69)</f>
        <v>9669.9400000000023</v>
      </c>
      <c r="P70" s="620">
        <f t="shared" si="2"/>
        <v>-0.17134852956688473</v>
      </c>
      <c r="Q70" s="623">
        <f t="shared" si="3"/>
        <v>8.6085460753751344E-4</v>
      </c>
    </row>
    <row r="71" spans="1:17">
      <c r="A71" s="241" t="s">
        <v>219</v>
      </c>
      <c r="B71" s="489">
        <v>10070.16</v>
      </c>
      <c r="C71" s="489">
        <v>8902.66</v>
      </c>
      <c r="D71" s="489">
        <v>8537.42</v>
      </c>
      <c r="E71" s="489">
        <v>5148.6099999999997</v>
      </c>
      <c r="F71" s="489">
        <v>7490.9</v>
      </c>
      <c r="G71" s="489">
        <v>7024.28</v>
      </c>
      <c r="H71" s="489">
        <v>9812.99</v>
      </c>
      <c r="I71" s="489">
        <v>13175.66</v>
      </c>
      <c r="J71" s="489">
        <v>12985.08</v>
      </c>
      <c r="K71" s="489">
        <v>8720.82</v>
      </c>
      <c r="L71" s="489">
        <v>13481.98</v>
      </c>
      <c r="M71" s="489">
        <v>7106</v>
      </c>
      <c r="N71" s="603">
        <f t="shared" ref="N71:N101" si="4">SUM(B71:M71)</f>
        <v>112456.55999999998</v>
      </c>
      <c r="O71" s="608">
        <f>SUM('MTRT 2014'!B70:M70)</f>
        <v>144426.21</v>
      </c>
      <c r="P71" s="620">
        <f t="shared" ref="P71:P101" si="5">N71/O71-1</f>
        <v>-0.22135628983132638</v>
      </c>
      <c r="Q71" s="623">
        <f t="shared" si="3"/>
        <v>1.2081446026376955E-2</v>
      </c>
    </row>
    <row r="72" spans="1:17" s="154" customFormat="1">
      <c r="A72" s="241" t="s">
        <v>220</v>
      </c>
      <c r="B72" s="491">
        <v>2610.34</v>
      </c>
      <c r="C72" s="489">
        <v>2841.91</v>
      </c>
      <c r="D72" s="489">
        <v>2542.79</v>
      </c>
      <c r="E72" s="489">
        <v>1746.2</v>
      </c>
      <c r="F72" s="489">
        <v>1678.08</v>
      </c>
      <c r="G72" s="489">
        <v>1532.97</v>
      </c>
      <c r="H72" s="489">
        <v>1772.56</v>
      </c>
      <c r="I72" s="489">
        <v>1632.18</v>
      </c>
      <c r="J72" s="489">
        <v>2348.9</v>
      </c>
      <c r="K72" s="489">
        <v>2239.0700000000002</v>
      </c>
      <c r="L72" s="489">
        <v>2417.61</v>
      </c>
      <c r="M72" s="489">
        <v>2157</v>
      </c>
      <c r="N72" s="603">
        <f t="shared" si="4"/>
        <v>25519.61</v>
      </c>
      <c r="O72" s="606">
        <f>SUM('MTRT 2014'!B71:M71)</f>
        <v>40766.619999999995</v>
      </c>
      <c r="P72" s="620">
        <f t="shared" si="5"/>
        <v>-0.3740072147261656</v>
      </c>
      <c r="Q72" s="623">
        <f t="shared" si="3"/>
        <v>2.7416256626486678E-3</v>
      </c>
    </row>
    <row r="73" spans="1:17">
      <c r="A73" s="560" t="s">
        <v>221</v>
      </c>
      <c r="B73" s="460">
        <v>164887.51999999999</v>
      </c>
      <c r="C73" s="460">
        <v>201044.41</v>
      </c>
      <c r="D73" s="460">
        <v>198476.04</v>
      </c>
      <c r="E73" s="460">
        <v>156941.60999999999</v>
      </c>
      <c r="F73" s="460">
        <v>260110.93</v>
      </c>
      <c r="G73" s="460">
        <v>241672.62</v>
      </c>
      <c r="H73" s="460">
        <v>207646.22</v>
      </c>
      <c r="I73" s="460">
        <v>288402.46000000002</v>
      </c>
      <c r="J73" s="460">
        <v>339817.28</v>
      </c>
      <c r="K73" s="460">
        <v>291624.67</v>
      </c>
      <c r="L73" s="460">
        <v>314069.59999999998</v>
      </c>
      <c r="M73" s="460">
        <v>256619</v>
      </c>
      <c r="N73" s="460">
        <f t="shared" si="4"/>
        <v>2921312.36</v>
      </c>
      <c r="O73" s="602">
        <f>SUM('MTRT 2014'!B72:M72)</f>
        <v>0</v>
      </c>
      <c r="P73" s="598" t="e">
        <f t="shared" si="5"/>
        <v>#DIV/0!</v>
      </c>
      <c r="Q73" s="598">
        <f t="shared" si="3"/>
        <v>0.31384276385057386</v>
      </c>
    </row>
    <row r="74" spans="1:17">
      <c r="A74" s="241" t="s">
        <v>222</v>
      </c>
      <c r="B74" s="489">
        <v>8010.86</v>
      </c>
      <c r="C74" s="489">
        <v>9015.6</v>
      </c>
      <c r="D74" s="489">
        <v>15132.15</v>
      </c>
      <c r="E74" s="489">
        <v>6271.44</v>
      </c>
      <c r="F74" s="489">
        <v>15245.68</v>
      </c>
      <c r="G74" s="489">
        <v>12061.47</v>
      </c>
      <c r="H74" s="489">
        <v>5691.14</v>
      </c>
      <c r="I74" s="489">
        <v>12581.8</v>
      </c>
      <c r="J74" s="489">
        <v>20147.46</v>
      </c>
      <c r="K74" s="489">
        <v>9829.0300000000007</v>
      </c>
      <c r="L74" s="489">
        <v>17259.18</v>
      </c>
      <c r="M74" s="489">
        <v>14183</v>
      </c>
      <c r="N74" s="603">
        <f t="shared" si="4"/>
        <v>145428.81</v>
      </c>
      <c r="O74" s="607">
        <f>SUM('MTRT 2014'!B73:M73)</f>
        <v>97313.279999999999</v>
      </c>
      <c r="P74" s="604">
        <f t="shared" si="5"/>
        <v>0.49443950507063383</v>
      </c>
      <c r="Q74" s="623">
        <f t="shared" si="3"/>
        <v>1.5623724562579804E-2</v>
      </c>
    </row>
    <row r="75" spans="1:17">
      <c r="A75" s="241" t="s">
        <v>223</v>
      </c>
      <c r="B75" s="489">
        <v>0</v>
      </c>
      <c r="C75" s="489">
        <v>0</v>
      </c>
      <c r="D75" s="489">
        <v>0</v>
      </c>
      <c r="E75" s="489">
        <v>0</v>
      </c>
      <c r="F75" s="489">
        <v>0</v>
      </c>
      <c r="G75" s="489">
        <v>0</v>
      </c>
      <c r="H75" s="489">
        <v>0</v>
      </c>
      <c r="I75" s="489">
        <v>0</v>
      </c>
      <c r="J75" s="489">
        <v>0</v>
      </c>
      <c r="K75" s="489">
        <v>0</v>
      </c>
      <c r="L75" s="489">
        <v>0</v>
      </c>
      <c r="M75" s="489">
        <v>0</v>
      </c>
      <c r="N75" s="603">
        <f t="shared" si="4"/>
        <v>0</v>
      </c>
      <c r="O75" s="608">
        <f>SUM('MTRT 2014'!B74:M74)</f>
        <v>0</v>
      </c>
      <c r="P75" s="604" t="e">
        <f t="shared" si="5"/>
        <v>#DIV/0!</v>
      </c>
      <c r="Q75" s="623">
        <f t="shared" si="3"/>
        <v>0</v>
      </c>
    </row>
    <row r="76" spans="1:17">
      <c r="A76" s="241" t="s">
        <v>224</v>
      </c>
      <c r="B76" s="489">
        <v>7944.74</v>
      </c>
      <c r="C76" s="489">
        <v>6310.28</v>
      </c>
      <c r="D76" s="489">
        <v>9162.5400000000009</v>
      </c>
      <c r="E76" s="489">
        <v>7219.63</v>
      </c>
      <c r="F76" s="489">
        <v>11163.68</v>
      </c>
      <c r="G76" s="489">
        <v>11227.02</v>
      </c>
      <c r="H76" s="489">
        <v>10495.95</v>
      </c>
      <c r="I76" s="489">
        <v>10472.68</v>
      </c>
      <c r="J76" s="489">
        <v>15324.58</v>
      </c>
      <c r="K76" s="489">
        <v>14537.14</v>
      </c>
      <c r="L76" s="489">
        <v>9828.6299999999992</v>
      </c>
      <c r="M76" s="489">
        <v>11218</v>
      </c>
      <c r="N76" s="603">
        <f t="shared" si="4"/>
        <v>124904.87</v>
      </c>
      <c r="O76" s="608">
        <f>SUM('MTRT 2014'!B75:M75)</f>
        <v>121461.28000000001</v>
      </c>
      <c r="P76" s="604">
        <f t="shared" si="5"/>
        <v>2.8351339620329874E-2</v>
      </c>
      <c r="Q76" s="623">
        <f t="shared" si="3"/>
        <v>1.3418794291205693E-2</v>
      </c>
    </row>
    <row r="77" spans="1:17">
      <c r="A77" s="241" t="s">
        <v>225</v>
      </c>
      <c r="B77" s="489">
        <v>620.07000000000005</v>
      </c>
      <c r="C77" s="489">
        <v>569.66</v>
      </c>
      <c r="D77" s="489">
        <v>0</v>
      </c>
      <c r="E77" s="489">
        <v>1051.82</v>
      </c>
      <c r="F77" s="489">
        <v>645.37</v>
      </c>
      <c r="G77" s="489">
        <v>742.04</v>
      </c>
      <c r="H77" s="489">
        <v>879.36</v>
      </c>
      <c r="I77" s="489">
        <v>920.92</v>
      </c>
      <c r="J77" s="489">
        <v>947.66</v>
      </c>
      <c r="K77" s="489">
        <v>1006.74</v>
      </c>
      <c r="L77" s="489">
        <v>859.38</v>
      </c>
      <c r="M77" s="489">
        <v>764</v>
      </c>
      <c r="N77" s="603">
        <f t="shared" si="4"/>
        <v>9007.0199999999986</v>
      </c>
      <c r="O77" s="608">
        <f>SUM('MTRT 2014'!B76:M76)</f>
        <v>8080.7400000000007</v>
      </c>
      <c r="P77" s="604">
        <f t="shared" si="5"/>
        <v>0.11462811574187493</v>
      </c>
      <c r="Q77" s="623">
        <f t="shared" si="3"/>
        <v>9.676432036379004E-4</v>
      </c>
    </row>
    <row r="78" spans="1:17">
      <c r="A78" s="241" t="s">
        <v>226</v>
      </c>
      <c r="B78" s="489">
        <v>24107.38</v>
      </c>
      <c r="C78" s="489">
        <v>28392.57</v>
      </c>
      <c r="D78" s="489">
        <v>18583.79</v>
      </c>
      <c r="E78" s="489">
        <v>22339.74</v>
      </c>
      <c r="F78" s="489">
        <v>33952.43</v>
      </c>
      <c r="G78" s="489">
        <v>35326.26</v>
      </c>
      <c r="H78" s="489">
        <v>34156.21</v>
      </c>
      <c r="I78" s="489">
        <v>41679.85</v>
      </c>
      <c r="J78" s="489">
        <v>44086.97</v>
      </c>
      <c r="K78" s="489">
        <v>38542.54</v>
      </c>
      <c r="L78" s="489">
        <v>41191.129999999997</v>
      </c>
      <c r="M78" s="489">
        <v>35066</v>
      </c>
      <c r="N78" s="603">
        <f t="shared" si="4"/>
        <v>397424.87</v>
      </c>
      <c r="O78" s="608">
        <f>SUM('MTRT 2014'!B77:M77)</f>
        <v>361563.81999999995</v>
      </c>
      <c r="P78" s="604">
        <f t="shared" si="5"/>
        <v>9.9183181547313204E-2</v>
      </c>
      <c r="Q78" s="623">
        <f t="shared" si="3"/>
        <v>4.2696194125490583E-2</v>
      </c>
    </row>
    <row r="79" spans="1:17" s="154" customFormat="1">
      <c r="A79" s="241" t="s">
        <v>227</v>
      </c>
      <c r="B79" s="489">
        <v>2802.74</v>
      </c>
      <c r="C79" s="489">
        <v>3373.03</v>
      </c>
      <c r="D79" s="489">
        <v>3389.11</v>
      </c>
      <c r="E79" s="489">
        <v>2085.23</v>
      </c>
      <c r="F79" s="489">
        <v>4925.7700000000004</v>
      </c>
      <c r="G79" s="489">
        <v>6234.24</v>
      </c>
      <c r="H79" s="489">
        <v>5451.87</v>
      </c>
      <c r="I79" s="489">
        <v>8096.87</v>
      </c>
      <c r="J79" s="489">
        <v>6793.59</v>
      </c>
      <c r="K79" s="489">
        <v>6402</v>
      </c>
      <c r="L79" s="489">
        <v>7861.96</v>
      </c>
      <c r="M79" s="489">
        <v>4522</v>
      </c>
      <c r="N79" s="603">
        <f t="shared" si="4"/>
        <v>61938.409999999996</v>
      </c>
      <c r="O79" s="606">
        <f>SUM('MTRT 2014'!B78:M78)</f>
        <v>38603.520000000004</v>
      </c>
      <c r="P79" s="604">
        <f t="shared" si="5"/>
        <v>0.60447570584236843</v>
      </c>
      <c r="Q79" s="623">
        <f t="shared" si="3"/>
        <v>6.6541743529644403E-3</v>
      </c>
    </row>
    <row r="80" spans="1:17">
      <c r="A80" s="560" t="s">
        <v>228</v>
      </c>
      <c r="B80" s="460">
        <v>40003.82</v>
      </c>
      <c r="C80" s="460">
        <v>193909.59</v>
      </c>
      <c r="D80" s="460">
        <v>398160.07</v>
      </c>
      <c r="E80" s="460">
        <v>42661.84</v>
      </c>
      <c r="F80" s="460">
        <v>210535.82</v>
      </c>
      <c r="G80" s="460">
        <v>50093.8</v>
      </c>
      <c r="H80" s="460">
        <v>29508.34</v>
      </c>
      <c r="I80" s="460">
        <v>132262.07</v>
      </c>
      <c r="J80" s="460">
        <v>93890.78</v>
      </c>
      <c r="K80" s="460">
        <v>104006.21</v>
      </c>
      <c r="L80" s="460">
        <v>134596.07</v>
      </c>
      <c r="M80" s="460">
        <v>47595</v>
      </c>
      <c r="N80" s="460">
        <f t="shared" si="4"/>
        <v>1477223.41</v>
      </c>
      <c r="O80" s="602">
        <f>SUM('MTRT 2014'!B79:M79)</f>
        <v>0</v>
      </c>
      <c r="P80" s="598" t="e">
        <f t="shared" si="5"/>
        <v>#DIV/0!</v>
      </c>
      <c r="Q80" s="598">
        <f t="shared" si="3"/>
        <v>0.15870123447503212</v>
      </c>
    </row>
    <row r="81" spans="1:17">
      <c r="A81" s="241" t="s">
        <v>229</v>
      </c>
      <c r="B81" s="489">
        <v>1731.94</v>
      </c>
      <c r="C81" s="489">
        <v>4632.4399999999996</v>
      </c>
      <c r="D81" s="489">
        <v>3092.48</v>
      </c>
      <c r="E81" s="489">
        <v>1608.06</v>
      </c>
      <c r="F81" s="489">
        <v>4962.3900000000003</v>
      </c>
      <c r="G81" s="489">
        <v>1671.43</v>
      </c>
      <c r="H81" s="489">
        <v>1712.55</v>
      </c>
      <c r="I81" s="489">
        <v>4881.41</v>
      </c>
      <c r="J81" s="489">
        <v>4914.72</v>
      </c>
      <c r="K81" s="489">
        <v>1159.95</v>
      </c>
      <c r="L81" s="489">
        <v>8445.69</v>
      </c>
      <c r="M81" s="489">
        <v>5341</v>
      </c>
      <c r="N81" s="603">
        <f t="shared" si="4"/>
        <v>44154.06</v>
      </c>
      <c r="O81" s="607">
        <f>SUM('MTRT 2014'!B80:M80)</f>
        <v>35191.35</v>
      </c>
      <c r="P81" s="604">
        <f t="shared" si="5"/>
        <v>0.2546850291335796</v>
      </c>
      <c r="Q81" s="623">
        <f t="shared" si="3"/>
        <v>4.7435640280603436E-3</v>
      </c>
    </row>
    <row r="82" spans="1:17" s="154" customFormat="1">
      <c r="A82" s="241" t="s">
        <v>230</v>
      </c>
      <c r="B82" s="485">
        <v>2478.1</v>
      </c>
      <c r="C82" s="485">
        <v>6283.34</v>
      </c>
      <c r="D82" s="485">
        <v>9566.06</v>
      </c>
      <c r="E82" s="485">
        <v>5531.33</v>
      </c>
      <c r="F82" s="485">
        <v>4313.08</v>
      </c>
      <c r="G82" s="485">
        <v>1333.95</v>
      </c>
      <c r="H82" s="485">
        <v>1629.78</v>
      </c>
      <c r="I82" s="485">
        <v>16609.68</v>
      </c>
      <c r="J82" s="485">
        <v>2425.79</v>
      </c>
      <c r="K82" s="485">
        <v>3916.73</v>
      </c>
      <c r="L82" s="485">
        <v>6606</v>
      </c>
      <c r="M82" s="485">
        <v>2330</v>
      </c>
      <c r="N82" s="603">
        <f t="shared" si="4"/>
        <v>63023.840000000011</v>
      </c>
      <c r="O82" s="606">
        <f>SUM('MTRT 2014'!B81:M81)</f>
        <v>69614.090000000011</v>
      </c>
      <c r="P82" s="620">
        <f t="shared" si="5"/>
        <v>-9.4668335102850554E-2</v>
      </c>
      <c r="Q82" s="623">
        <f t="shared" si="3"/>
        <v>6.7707843929693144E-3</v>
      </c>
    </row>
    <row r="83" spans="1:17">
      <c r="A83" s="560" t="s">
        <v>231</v>
      </c>
      <c r="B83" s="460">
        <v>241168.11</v>
      </c>
      <c r="C83" s="460">
        <v>308656.49</v>
      </c>
      <c r="D83" s="460">
        <v>245652.86</v>
      </c>
      <c r="E83" s="460">
        <v>291697.21999999997</v>
      </c>
      <c r="F83" s="460">
        <v>567645.81999999995</v>
      </c>
      <c r="G83" s="460">
        <v>575570.02</v>
      </c>
      <c r="H83" s="460">
        <v>497528.02</v>
      </c>
      <c r="I83" s="460">
        <v>650788.97</v>
      </c>
      <c r="J83" s="460">
        <v>513931.3</v>
      </c>
      <c r="K83" s="460">
        <v>537456.59</v>
      </c>
      <c r="L83" s="460">
        <v>650894</v>
      </c>
      <c r="M83" s="460">
        <v>539823</v>
      </c>
      <c r="N83" s="460">
        <f t="shared" si="4"/>
        <v>5620812.3999999994</v>
      </c>
      <c r="O83" s="602">
        <f>SUM('MTRT 2014'!B82:M82)</f>
        <v>0</v>
      </c>
      <c r="P83" s="598" t="e">
        <f t="shared" si="5"/>
        <v>#DIV/0!</v>
      </c>
      <c r="Q83" s="598">
        <f t="shared" si="3"/>
        <v>0.60385576114893014</v>
      </c>
    </row>
    <row r="84" spans="1:17">
      <c r="A84" s="241" t="s">
        <v>232</v>
      </c>
      <c r="B84" s="485">
        <v>3525.56</v>
      </c>
      <c r="C84" s="485">
        <v>4311.88</v>
      </c>
      <c r="D84" s="485">
        <v>1065.29</v>
      </c>
      <c r="E84" s="485">
        <v>3448.86</v>
      </c>
      <c r="F84" s="485">
        <v>7194.03</v>
      </c>
      <c r="G84" s="485">
        <v>8206.8799999999992</v>
      </c>
      <c r="H84" s="485">
        <v>7578.46</v>
      </c>
      <c r="I84" s="485">
        <v>11092.12</v>
      </c>
      <c r="J84" s="485">
        <v>7524.42</v>
      </c>
      <c r="K84" s="485">
        <v>10053.58</v>
      </c>
      <c r="L84" s="485">
        <v>9054.92</v>
      </c>
      <c r="M84" s="485">
        <v>5768</v>
      </c>
      <c r="N84" s="603">
        <f t="shared" si="4"/>
        <v>78824</v>
      </c>
      <c r="O84" s="607">
        <f>SUM('MTRT 2014'!B83:M83)</f>
        <v>62610.479999999996</v>
      </c>
      <c r="P84" s="604">
        <f t="shared" si="5"/>
        <v>0.25895856412536689</v>
      </c>
      <c r="Q84" s="623">
        <f t="shared" si="3"/>
        <v>8.4682289906710412E-3</v>
      </c>
    </row>
    <row r="85" spans="1:17">
      <c r="A85" s="241" t="s">
        <v>233</v>
      </c>
      <c r="B85" s="489">
        <v>7729.74</v>
      </c>
      <c r="C85" s="489">
        <v>5084.2</v>
      </c>
      <c r="D85" s="489">
        <v>3985.76</v>
      </c>
      <c r="E85" s="489">
        <v>6182.29</v>
      </c>
      <c r="F85" s="489">
        <v>9477.61</v>
      </c>
      <c r="G85" s="489">
        <v>14650.33</v>
      </c>
      <c r="H85" s="489">
        <v>11883.66</v>
      </c>
      <c r="I85" s="489">
        <v>7886.02</v>
      </c>
      <c r="J85" s="489">
        <v>7159.65</v>
      </c>
      <c r="K85" s="489">
        <v>6806.82</v>
      </c>
      <c r="L85" s="489">
        <v>10363.950000000001</v>
      </c>
      <c r="M85" s="489">
        <v>15147</v>
      </c>
      <c r="N85" s="603">
        <f t="shared" si="4"/>
        <v>106357.02999999998</v>
      </c>
      <c r="O85" s="608">
        <f>SUM('MTRT 2014'!B84:M84)</f>
        <v>97385.62</v>
      </c>
      <c r="P85" s="604">
        <f t="shared" si="5"/>
        <v>9.2122533080345903E-2</v>
      </c>
      <c r="Q85" s="623">
        <f t="shared" si="3"/>
        <v>1.1426160621227919E-2</v>
      </c>
    </row>
    <row r="86" spans="1:17">
      <c r="A86" s="241" t="s">
        <v>234</v>
      </c>
      <c r="B86" s="489">
        <v>0</v>
      </c>
      <c r="C86" s="489">
        <v>88.7</v>
      </c>
      <c r="D86" s="489">
        <v>0</v>
      </c>
      <c r="E86" s="489">
        <v>0</v>
      </c>
      <c r="F86" s="489">
        <v>2132.1</v>
      </c>
      <c r="G86" s="489">
        <v>0</v>
      </c>
      <c r="H86" s="489">
        <v>0</v>
      </c>
      <c r="I86" s="489">
        <v>6046.17</v>
      </c>
      <c r="J86" s="489">
        <v>0</v>
      </c>
      <c r="K86" s="489">
        <v>4111.3500000000004</v>
      </c>
      <c r="L86" s="489">
        <v>2521.94</v>
      </c>
      <c r="M86" s="489">
        <v>221</v>
      </c>
      <c r="N86" s="603">
        <f t="shared" si="4"/>
        <v>15121.26</v>
      </c>
      <c r="O86" s="608">
        <f>SUM('MTRT 2014'!B85:M85)</f>
        <v>256.89999999999998</v>
      </c>
      <c r="P86" s="604">
        <f t="shared" si="5"/>
        <v>57.860490463215264</v>
      </c>
      <c r="Q86" s="623">
        <f t="shared" si="3"/>
        <v>1.6245089351907336E-3</v>
      </c>
    </row>
    <row r="87" spans="1:17">
      <c r="A87" s="241" t="s">
        <v>235</v>
      </c>
      <c r="B87" s="489">
        <v>0</v>
      </c>
      <c r="C87" s="489">
        <v>266.58</v>
      </c>
      <c r="D87" s="489">
        <v>0</v>
      </c>
      <c r="E87" s="489">
        <v>43.66</v>
      </c>
      <c r="F87" s="489">
        <v>66.28</v>
      </c>
      <c r="G87" s="489">
        <v>0</v>
      </c>
      <c r="H87" s="489">
        <v>127.77</v>
      </c>
      <c r="I87" s="489">
        <v>702.75</v>
      </c>
      <c r="J87" s="489">
        <v>0</v>
      </c>
      <c r="K87" s="489">
        <v>0</v>
      </c>
      <c r="L87" s="489">
        <v>692.9</v>
      </c>
      <c r="M87" s="489">
        <v>0</v>
      </c>
      <c r="N87" s="603">
        <f t="shared" si="4"/>
        <v>1899.94</v>
      </c>
      <c r="O87" s="608">
        <f>SUM('MTRT 2014'!B86:M86)</f>
        <v>1291.73</v>
      </c>
      <c r="P87" s="604">
        <f t="shared" si="5"/>
        <v>0.4708491712664411</v>
      </c>
      <c r="Q87" s="623">
        <f t="shared" si="3"/>
        <v>2.0411457155860573E-4</v>
      </c>
    </row>
    <row r="88" spans="1:17">
      <c r="A88" s="241" t="s">
        <v>236</v>
      </c>
      <c r="B88" s="485">
        <v>21547.93</v>
      </c>
      <c r="C88" s="485">
        <v>41544.519999999997</v>
      </c>
      <c r="D88" s="485">
        <v>39958.92</v>
      </c>
      <c r="E88" s="485">
        <v>44920.53</v>
      </c>
      <c r="F88" s="485">
        <v>67290.460000000006</v>
      </c>
      <c r="G88" s="485">
        <v>48648.85</v>
      </c>
      <c r="H88" s="485">
        <v>46873.59</v>
      </c>
      <c r="I88" s="485">
        <v>58038.400000000001</v>
      </c>
      <c r="J88" s="485">
        <v>43065.11</v>
      </c>
      <c r="K88" s="485">
        <v>44045.91</v>
      </c>
      <c r="L88" s="485">
        <v>64066.74</v>
      </c>
      <c r="M88" s="485">
        <v>58772</v>
      </c>
      <c r="N88" s="603">
        <f t="shared" si="4"/>
        <v>578772.96</v>
      </c>
      <c r="O88" s="608">
        <f>SUM('MTRT 2014'!B87:M87)</f>
        <v>574885.8899999999</v>
      </c>
      <c r="P88" s="604">
        <f t="shared" si="5"/>
        <v>6.7614635662740508E-3</v>
      </c>
      <c r="Q88" s="623">
        <f t="shared" si="3"/>
        <v>6.2178802888568079E-2</v>
      </c>
    </row>
    <row r="89" spans="1:17">
      <c r="A89" s="241" t="s">
        <v>237</v>
      </c>
      <c r="B89" s="485">
        <v>117.07</v>
      </c>
      <c r="C89" s="485">
        <v>75.48</v>
      </c>
      <c r="D89" s="485">
        <v>0</v>
      </c>
      <c r="E89" s="485">
        <v>97.99</v>
      </c>
      <c r="F89" s="485">
        <v>681.41</v>
      </c>
      <c r="G89" s="485">
        <v>2332.91</v>
      </c>
      <c r="H89" s="485">
        <v>58.19</v>
      </c>
      <c r="I89" s="485">
        <v>1426.84</v>
      </c>
      <c r="J89" s="485">
        <v>105.22</v>
      </c>
      <c r="K89" s="485">
        <v>935.77</v>
      </c>
      <c r="L89" s="485">
        <v>310.12</v>
      </c>
      <c r="M89" s="485">
        <v>592</v>
      </c>
      <c r="N89" s="603">
        <f t="shared" si="4"/>
        <v>6732.9999999999991</v>
      </c>
      <c r="O89" s="608">
        <f>SUM('MTRT 2014'!B88:M88)</f>
        <v>722.34</v>
      </c>
      <c r="P89" s="604">
        <f t="shared" si="5"/>
        <v>8.3210953290694114</v>
      </c>
      <c r="Q89" s="623">
        <f t="shared" si="3"/>
        <v>7.2334042669983903E-4</v>
      </c>
    </row>
    <row r="90" spans="1:17">
      <c r="A90" s="241" t="s">
        <v>238</v>
      </c>
      <c r="B90" s="485">
        <v>15324.88</v>
      </c>
      <c r="C90" s="485">
        <v>9961.67</v>
      </c>
      <c r="D90" s="485">
        <v>6285.14</v>
      </c>
      <c r="E90" s="485">
        <v>11544.89</v>
      </c>
      <c r="F90" s="485">
        <v>25174.84</v>
      </c>
      <c r="G90" s="485">
        <v>47916.7</v>
      </c>
      <c r="H90" s="485">
        <v>46337.11</v>
      </c>
      <c r="I90" s="485">
        <v>49149.22</v>
      </c>
      <c r="J90" s="485">
        <v>45632.38</v>
      </c>
      <c r="K90" s="485">
        <v>46977.73</v>
      </c>
      <c r="L90" s="485">
        <v>51868.2</v>
      </c>
      <c r="M90" s="485">
        <v>31030</v>
      </c>
      <c r="N90" s="603">
        <f t="shared" si="4"/>
        <v>387202.76</v>
      </c>
      <c r="O90" s="608">
        <f>SUM('MTRT 2014'!B89:M89)</f>
        <v>328891.51</v>
      </c>
      <c r="P90" s="604">
        <f t="shared" si="5"/>
        <v>0.17729630661490781</v>
      </c>
      <c r="Q90" s="623">
        <f t="shared" si="3"/>
        <v>4.1598011233886144E-2</v>
      </c>
    </row>
    <row r="91" spans="1:17">
      <c r="A91" s="241" t="s">
        <v>239</v>
      </c>
      <c r="B91" s="485">
        <v>0</v>
      </c>
      <c r="C91" s="485">
        <v>149.27000000000001</v>
      </c>
      <c r="D91" s="485">
        <v>0</v>
      </c>
      <c r="E91" s="485">
        <v>0</v>
      </c>
      <c r="F91" s="485">
        <v>2.87</v>
      </c>
      <c r="G91" s="485">
        <v>0</v>
      </c>
      <c r="H91" s="485">
        <v>0</v>
      </c>
      <c r="I91" s="485">
        <v>103.13</v>
      </c>
      <c r="J91" s="485">
        <v>0</v>
      </c>
      <c r="K91" s="485">
        <v>0</v>
      </c>
      <c r="L91" s="485">
        <v>308.60000000000002</v>
      </c>
      <c r="M91" s="485">
        <v>0</v>
      </c>
      <c r="N91" s="603">
        <f t="shared" si="4"/>
        <v>563.87</v>
      </c>
      <c r="O91" s="608">
        <f>SUM('MTRT 2014'!B90:M90)</f>
        <v>0</v>
      </c>
      <c r="P91" s="604" t="e">
        <f t="shared" si="5"/>
        <v>#DIV/0!</v>
      </c>
      <c r="Q91" s="623">
        <f t="shared" si="3"/>
        <v>6.0577746383965287E-5</v>
      </c>
    </row>
    <row r="92" spans="1:17" s="154" customFormat="1">
      <c r="A92" s="241" t="s">
        <v>240</v>
      </c>
      <c r="B92" s="485">
        <v>363.77</v>
      </c>
      <c r="C92" s="485">
        <v>524.91999999999996</v>
      </c>
      <c r="D92" s="485">
        <v>657.49</v>
      </c>
      <c r="E92" s="485">
        <v>965.71</v>
      </c>
      <c r="F92" s="485">
        <v>1601.82</v>
      </c>
      <c r="G92" s="485">
        <v>0</v>
      </c>
      <c r="H92" s="485">
        <v>1769.44</v>
      </c>
      <c r="I92" s="485">
        <v>3341.54</v>
      </c>
      <c r="J92" s="485">
        <v>1216.3</v>
      </c>
      <c r="K92" s="485">
        <v>1423.56</v>
      </c>
      <c r="L92" s="485">
        <v>1585.53</v>
      </c>
      <c r="M92" s="485">
        <v>940</v>
      </c>
      <c r="N92" s="603">
        <f t="shared" si="4"/>
        <v>14390.079999999998</v>
      </c>
      <c r="O92" s="606">
        <f>SUM('MTRT 2014'!B91:M91)</f>
        <v>11040.9</v>
      </c>
      <c r="P92" s="604">
        <f t="shared" si="5"/>
        <v>0.30334302457227214</v>
      </c>
      <c r="Q92" s="623">
        <f t="shared" si="3"/>
        <v>1.5459567217354551E-3</v>
      </c>
    </row>
    <row r="93" spans="1:17">
      <c r="A93" s="560" t="s">
        <v>241</v>
      </c>
      <c r="B93" s="460">
        <v>6895.71</v>
      </c>
      <c r="C93" s="460">
        <v>16542.34</v>
      </c>
      <c r="D93" s="460">
        <v>2589.06</v>
      </c>
      <c r="E93" s="460">
        <v>3382.23</v>
      </c>
      <c r="F93" s="460">
        <v>14785.2</v>
      </c>
      <c r="G93" s="460">
        <v>14171.43</v>
      </c>
      <c r="H93" s="460">
        <v>42026.879999999997</v>
      </c>
      <c r="I93" s="460">
        <v>59065.63</v>
      </c>
      <c r="J93" s="460">
        <v>27977.66</v>
      </c>
      <c r="K93" s="460">
        <v>26128.87</v>
      </c>
      <c r="L93" s="460">
        <v>69876.509999999995</v>
      </c>
      <c r="M93" s="460">
        <v>28174</v>
      </c>
      <c r="N93" s="460">
        <f t="shared" si="4"/>
        <v>311615.52</v>
      </c>
      <c r="O93" s="458">
        <f>SUM('MTRT 2014'!B92:M92)</f>
        <v>0</v>
      </c>
      <c r="P93" s="598" t="e">
        <f t="shared" si="5"/>
        <v>#DIV/0!</v>
      </c>
      <c r="Q93" s="598">
        <f t="shared" si="3"/>
        <v>3.34775142140342E-2</v>
      </c>
    </row>
    <row r="94" spans="1:17" s="154" customFormat="1">
      <c r="A94" s="241" t="s">
        <v>242</v>
      </c>
      <c r="B94" s="485">
        <v>189.2</v>
      </c>
      <c r="C94" s="485">
        <v>119.5</v>
      </c>
      <c r="D94" s="485">
        <v>53.72</v>
      </c>
      <c r="E94" s="485">
        <v>297.77</v>
      </c>
      <c r="F94" s="485">
        <v>235.35</v>
      </c>
      <c r="G94" s="485">
        <v>631.88</v>
      </c>
      <c r="H94" s="485">
        <v>537.98</v>
      </c>
      <c r="I94" s="485">
        <v>516.57000000000005</v>
      </c>
      <c r="J94" s="485">
        <v>598.29999999999995</v>
      </c>
      <c r="K94" s="485">
        <v>823.41</v>
      </c>
      <c r="L94" s="485">
        <v>452.33</v>
      </c>
      <c r="M94" s="485">
        <v>404</v>
      </c>
      <c r="N94" s="487">
        <f t="shared" si="4"/>
        <v>4860.01</v>
      </c>
      <c r="O94" s="606">
        <f>SUM('MTRT 2014'!B93:M93)</f>
        <v>5155.4799999999996</v>
      </c>
      <c r="P94" s="619">
        <f t="shared" si="5"/>
        <v>-5.7311831294079241E-2</v>
      </c>
      <c r="Q94" s="566">
        <f t="shared" si="3"/>
        <v>5.2212115062609315E-4</v>
      </c>
    </row>
    <row r="95" spans="1:17" s="154" customFormat="1">
      <c r="A95" s="560" t="s">
        <v>243</v>
      </c>
      <c r="B95" s="460">
        <v>58071.01</v>
      </c>
      <c r="C95" s="460">
        <v>82482.62</v>
      </c>
      <c r="D95" s="460">
        <v>94781.1</v>
      </c>
      <c r="E95" s="460">
        <v>81695.259999999995</v>
      </c>
      <c r="F95" s="460">
        <v>147488.28</v>
      </c>
      <c r="G95" s="460">
        <v>104579.77</v>
      </c>
      <c r="H95" s="460">
        <v>91207.85</v>
      </c>
      <c r="I95" s="460">
        <v>140730.62</v>
      </c>
      <c r="J95" s="460">
        <v>130336.88</v>
      </c>
      <c r="K95" s="460">
        <v>144949.35</v>
      </c>
      <c r="L95" s="460">
        <v>157933.97</v>
      </c>
      <c r="M95" s="460">
        <v>135760</v>
      </c>
      <c r="N95" s="460">
        <f t="shared" si="4"/>
        <v>1370016.71</v>
      </c>
      <c r="O95" s="602">
        <f>SUM('MTRT 2014'!B94:M94)</f>
        <v>0</v>
      </c>
      <c r="P95" s="598" t="e">
        <f t="shared" si="5"/>
        <v>#DIV/0!</v>
      </c>
      <c r="Q95" s="598">
        <f t="shared" si="3"/>
        <v>0.14718379200910586</v>
      </c>
    </row>
    <row r="96" spans="1:17">
      <c r="A96" s="241" t="s">
        <v>331</v>
      </c>
      <c r="B96" s="485">
        <v>581.22</v>
      </c>
      <c r="C96" s="485">
        <v>527.52</v>
      </c>
      <c r="D96" s="485">
        <v>535.9</v>
      </c>
      <c r="E96" s="485">
        <v>552.76</v>
      </c>
      <c r="F96" s="485">
        <v>923.66</v>
      </c>
      <c r="G96" s="485">
        <v>819.63</v>
      </c>
      <c r="H96" s="485">
        <v>927.17</v>
      </c>
      <c r="I96" s="485">
        <v>1204.55</v>
      </c>
      <c r="J96" s="485">
        <v>1027.17</v>
      </c>
      <c r="K96" s="485">
        <v>1416.48</v>
      </c>
      <c r="L96" s="485">
        <v>1018.69</v>
      </c>
      <c r="M96" s="485">
        <v>721</v>
      </c>
      <c r="N96" s="603">
        <f t="shared" si="4"/>
        <v>10255.75</v>
      </c>
      <c r="O96" s="607">
        <f>SUM('MTRT 2014'!B95:M95)</f>
        <v>3786.7500000000005</v>
      </c>
      <c r="P96" s="604">
        <f t="shared" si="5"/>
        <v>1.7083250808741002</v>
      </c>
      <c r="Q96" s="623">
        <f t="shared" si="3"/>
        <v>1.1017969079350771E-3</v>
      </c>
    </row>
    <row r="97" spans="1:18">
      <c r="A97" s="241" t="s">
        <v>244</v>
      </c>
      <c r="B97" s="489">
        <v>1801.6</v>
      </c>
      <c r="C97" s="489">
        <v>1771.88</v>
      </c>
      <c r="D97" s="489">
        <v>2475.62</v>
      </c>
      <c r="E97" s="489">
        <v>1340.78</v>
      </c>
      <c r="F97" s="489">
        <v>2621.8</v>
      </c>
      <c r="G97" s="489">
        <v>2628.4</v>
      </c>
      <c r="H97" s="489">
        <v>3135.56</v>
      </c>
      <c r="I97" s="489">
        <v>3403.43</v>
      </c>
      <c r="J97" s="489">
        <v>3393.96</v>
      </c>
      <c r="K97" s="489">
        <v>3627.91</v>
      </c>
      <c r="L97" s="489">
        <v>3157.49</v>
      </c>
      <c r="M97" s="489">
        <v>2579</v>
      </c>
      <c r="N97" s="603">
        <f t="shared" si="4"/>
        <v>31937.43</v>
      </c>
      <c r="O97" s="608">
        <f>SUM('MTRT 2014'!B96:M96)</f>
        <v>26840.9</v>
      </c>
      <c r="P97" s="604">
        <f t="shared" si="5"/>
        <v>0.18987925144089801</v>
      </c>
      <c r="Q97" s="623">
        <f t="shared" si="3"/>
        <v>3.431105635511101E-3</v>
      </c>
    </row>
    <row r="98" spans="1:18">
      <c r="A98" s="241" t="s">
        <v>245</v>
      </c>
      <c r="B98" s="489">
        <v>5217.99</v>
      </c>
      <c r="C98" s="489">
        <v>8129.8</v>
      </c>
      <c r="D98" s="489">
        <v>11524.95</v>
      </c>
      <c r="E98" s="489">
        <v>8936.24</v>
      </c>
      <c r="F98" s="489">
        <v>12162.65</v>
      </c>
      <c r="G98" s="489">
        <v>14096.34</v>
      </c>
      <c r="H98" s="489">
        <v>9125.4599999999991</v>
      </c>
      <c r="I98" s="489">
        <v>16397.62</v>
      </c>
      <c r="J98" s="489">
        <v>13224.39</v>
      </c>
      <c r="K98" s="489">
        <v>16618.28</v>
      </c>
      <c r="L98" s="489">
        <v>12738.95</v>
      </c>
      <c r="M98" s="489">
        <v>19358</v>
      </c>
      <c r="N98" s="603">
        <f t="shared" si="4"/>
        <v>147530.66999999998</v>
      </c>
      <c r="O98" s="608">
        <f>SUM('MTRT 2014'!B97:M97)</f>
        <v>118336.67</v>
      </c>
      <c r="P98" s="604">
        <f t="shared" si="5"/>
        <v>0.24670290282800744</v>
      </c>
      <c r="Q98" s="623">
        <f t="shared" si="3"/>
        <v>1.5849531826691392E-2</v>
      </c>
    </row>
    <row r="99" spans="1:18">
      <c r="A99" s="241" t="s">
        <v>246</v>
      </c>
      <c r="B99" s="489">
        <v>614.20000000000005</v>
      </c>
      <c r="C99" s="489">
        <v>564.73</v>
      </c>
      <c r="D99" s="489">
        <v>582.1</v>
      </c>
      <c r="E99" s="489">
        <v>715.08</v>
      </c>
      <c r="F99" s="489">
        <v>940.74</v>
      </c>
      <c r="G99" s="489">
        <v>847.15</v>
      </c>
      <c r="H99" s="489">
        <v>980.23</v>
      </c>
      <c r="I99" s="489">
        <v>1307.1199999999999</v>
      </c>
      <c r="J99" s="489">
        <v>1517.47</v>
      </c>
      <c r="K99" s="489">
        <v>1425.95</v>
      </c>
      <c r="L99" s="489">
        <v>1101.6099999999999</v>
      </c>
      <c r="M99" s="489">
        <v>960</v>
      </c>
      <c r="N99" s="603">
        <f t="shared" si="4"/>
        <v>11556.380000000001</v>
      </c>
      <c r="O99" s="608">
        <f>SUM('MTRT 2014'!B98:M98)</f>
        <v>8999.39</v>
      </c>
      <c r="P99" s="604">
        <f t="shared" si="5"/>
        <v>0.28412925764968544</v>
      </c>
      <c r="Q99" s="623">
        <f t="shared" si="3"/>
        <v>1.2415263389730414E-3</v>
      </c>
    </row>
    <row r="100" spans="1:18">
      <c r="A100" s="241" t="s">
        <v>247</v>
      </c>
      <c r="B100" s="489">
        <v>602.83000000000004</v>
      </c>
      <c r="C100" s="489">
        <v>553</v>
      </c>
      <c r="D100" s="489">
        <v>590.42999999999995</v>
      </c>
      <c r="E100" s="489">
        <v>576.25</v>
      </c>
      <c r="F100" s="489">
        <v>792.73</v>
      </c>
      <c r="G100" s="489">
        <v>669.59</v>
      </c>
      <c r="H100" s="489">
        <v>846.69</v>
      </c>
      <c r="I100" s="489">
        <v>1071.25</v>
      </c>
      <c r="J100" s="489">
        <v>1203.5899999999999</v>
      </c>
      <c r="K100" s="489">
        <v>1256.0999999999999</v>
      </c>
      <c r="L100" s="489">
        <v>1076.96</v>
      </c>
      <c r="M100" s="489">
        <v>913</v>
      </c>
      <c r="N100" s="603">
        <f t="shared" si="4"/>
        <v>10152.420000000002</v>
      </c>
      <c r="O100" s="608">
        <f>SUM('MTRT 2014'!B99:M99)</f>
        <v>8832.64</v>
      </c>
      <c r="P100" s="604">
        <f t="shared" si="5"/>
        <v>0.14942078472574472</v>
      </c>
      <c r="Q100" s="623">
        <f t="shared" si="3"/>
        <v>1.0906959475473017E-3</v>
      </c>
    </row>
    <row r="101" spans="1:18" ht="13" thickBot="1">
      <c r="A101" s="241" t="s">
        <v>248</v>
      </c>
      <c r="B101" s="489">
        <v>3558.38</v>
      </c>
      <c r="C101" s="489">
        <v>3151.77</v>
      </c>
      <c r="D101" s="489">
        <v>3575.8</v>
      </c>
      <c r="E101" s="489">
        <v>4294.91</v>
      </c>
      <c r="F101" s="489">
        <v>4363.34</v>
      </c>
      <c r="G101" s="489">
        <v>4187.51</v>
      </c>
      <c r="H101" s="489">
        <v>4895.63</v>
      </c>
      <c r="I101" s="489">
        <v>6626.21</v>
      </c>
      <c r="J101" s="489">
        <v>6697.01</v>
      </c>
      <c r="K101" s="489">
        <v>6345.67</v>
      </c>
      <c r="L101" s="489">
        <v>7055.59</v>
      </c>
      <c r="M101" s="489">
        <v>4727</v>
      </c>
      <c r="N101" s="605">
        <f t="shared" si="4"/>
        <v>59478.820000000007</v>
      </c>
      <c r="O101" s="616">
        <f>SUM('MTRT 2014'!B100:M100)</f>
        <v>51918.55</v>
      </c>
      <c r="P101" s="604">
        <f t="shared" si="5"/>
        <v>0.14561789572320505</v>
      </c>
      <c r="Q101" s="623">
        <f t="shared" si="3"/>
        <v>6.3899353985449178E-3</v>
      </c>
    </row>
    <row r="102" spans="1:18" s="365" customFormat="1" ht="13" thickBot="1">
      <c r="A102" s="455" t="s">
        <v>54</v>
      </c>
      <c r="B102" s="493">
        <f t="shared" ref="B102:N102" si="6">SUM(B5,B7:B9,B11:B12,B15,B18:B24,B26,B28,B30,B32,B34:B35,B37,B39:B40,B42:B43,B48:B58,B60:B61,B64:B65,B68,B70:B72,B74:B79,B81:B82,B84:B92,B94,B96:B101)</f>
        <v>452271.82</v>
      </c>
      <c r="C102" s="493">
        <f t="shared" si="6"/>
        <v>556332.52000000014</v>
      </c>
      <c r="D102" s="493">
        <f t="shared" si="6"/>
        <v>566396.39999999979</v>
      </c>
      <c r="E102" s="493">
        <f t="shared" si="6"/>
        <v>579742.65</v>
      </c>
      <c r="F102" s="493">
        <f t="shared" si="6"/>
        <v>852383.15000000014</v>
      </c>
      <c r="G102" s="493">
        <f t="shared" si="6"/>
        <v>757036.53999999992</v>
      </c>
      <c r="H102" s="493">
        <f t="shared" si="6"/>
        <v>799147.14999999991</v>
      </c>
      <c r="I102" s="493">
        <f t="shared" si="6"/>
        <v>1001085.5500000003</v>
      </c>
      <c r="J102" s="493">
        <f t="shared" si="6"/>
        <v>960844.63</v>
      </c>
      <c r="K102" s="493">
        <f t="shared" si="6"/>
        <v>934522.25</v>
      </c>
      <c r="L102" s="493">
        <f t="shared" si="6"/>
        <v>1032130.9899999996</v>
      </c>
      <c r="M102" s="493">
        <f t="shared" si="6"/>
        <v>816310</v>
      </c>
      <c r="N102" s="614">
        <f t="shared" si="6"/>
        <v>9308203.6500000004</v>
      </c>
      <c r="O102" s="615">
        <f>SUM('MTRT 2014'!B101:L101)</f>
        <v>7528603.1700000009</v>
      </c>
      <c r="P102" s="481">
        <f>N102/O102-1</f>
        <v>0.23637857379591432</v>
      </c>
      <c r="Q102" s="627">
        <f t="shared" si="3"/>
        <v>1</v>
      </c>
      <c r="R102" s="621"/>
    </row>
    <row r="103" spans="1:18" s="236" customFormat="1" ht="13" thickBot="1">
      <c r="A103" s="537" t="s">
        <v>265</v>
      </c>
      <c r="B103" s="538">
        <f>B102/'MTRT 2014'!B101-1</f>
        <v>0.12544801743575174</v>
      </c>
      <c r="C103" s="538">
        <f>C102/'MTRT 2014'!C101-1</f>
        <v>0.29509098652136556</v>
      </c>
      <c r="D103" s="538">
        <f>D102/'MTRT 2014'!D101-1</f>
        <v>1.0002278047512192E-2</v>
      </c>
      <c r="E103" s="538">
        <f>E102/'MTRT 2014'!E101-1</f>
        <v>0.18081915975937268</v>
      </c>
      <c r="F103" s="538">
        <f>F102/'MTRT 2014'!F101-1</f>
        <v>0.16850814066253728</v>
      </c>
      <c r="G103" s="538">
        <f>G102/'MTRT 2014'!G101-1</f>
        <v>7.7545682351193301E-2</v>
      </c>
      <c r="H103" s="538">
        <f>H102/'MTRT 2014'!H101-1</f>
        <v>0.12223172783901037</v>
      </c>
      <c r="I103" s="538">
        <f>I102/'MTRT 2014'!I101-1</f>
        <v>9.5642919488477141E-2</v>
      </c>
      <c r="J103" s="538">
        <f>J102/'MTRT 2014'!J101-1</f>
        <v>0.25637388242934334</v>
      </c>
      <c r="K103" s="538">
        <f>K102/'MTRT 2014'!K101-1</f>
        <v>6.0745489844803879E-2</v>
      </c>
      <c r="L103" s="538">
        <f>L102/'MTRT 2014'!L101-1</f>
        <v>9.5892910789137975E-2</v>
      </c>
      <c r="M103" s="538">
        <f>M102/'MTRT 2014'!M101-1</f>
        <v>0.18933228486494769</v>
      </c>
      <c r="N103" s="569"/>
      <c r="O103" s="570"/>
      <c r="P103" s="600"/>
      <c r="Q103" s="600"/>
    </row>
    <row r="104" spans="1:18">
      <c r="A104" s="242"/>
      <c r="B104" s="236"/>
      <c r="C104" s="243"/>
      <c r="D104" s="243"/>
      <c r="E104" s="236"/>
      <c r="F104" s="244"/>
      <c r="G104" s="236"/>
      <c r="H104" s="236"/>
      <c r="I104" s="236"/>
      <c r="J104" s="236"/>
      <c r="K104" s="236"/>
      <c r="L104" s="236"/>
      <c r="M104" s="244"/>
      <c r="N104" s="236"/>
      <c r="O104" s="236"/>
    </row>
    <row r="105" spans="1:18">
      <c r="A105" s="208"/>
      <c r="G105" s="117"/>
      <c r="H105" s="117"/>
      <c r="M105" s="245"/>
    </row>
    <row r="106" spans="1:18">
      <c r="A106" s="208"/>
      <c r="G106" s="117"/>
      <c r="H106" s="117"/>
      <c r="I106" s="100"/>
    </row>
    <row r="107" spans="1:18">
      <c r="A107" s="246"/>
      <c r="B107" s="247"/>
      <c r="P107" s="601"/>
    </row>
    <row r="108" spans="1:18">
      <c r="A108" s="246"/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P108" s="229"/>
    </row>
    <row r="109" spans="1:18">
      <c r="A109" s="208"/>
      <c r="F109" s="243"/>
      <c r="P109" s="229"/>
    </row>
    <row r="110" spans="1:18">
      <c r="F110" s="243"/>
    </row>
    <row r="111" spans="1:18">
      <c r="L111" s="249"/>
    </row>
    <row r="112" spans="1:18">
      <c r="L112" s="118"/>
    </row>
    <row r="113" spans="1:12">
      <c r="L113" s="227"/>
    </row>
    <row r="123" spans="1:12">
      <c r="A123" s="249"/>
    </row>
  </sheetData>
  <mergeCells count="1">
    <mergeCell ref="A1:Q1"/>
  </mergeCells>
  <printOptions horizontalCentered="1"/>
  <pageMargins left="0.25" right="0.25" top="0.25" bottom="0.25" header="0" footer="0"/>
  <pageSetup scale="56" orientation="portrait"/>
  <headerFooter alignWithMargins="0">
    <oddFooter>&amp;Z&amp;F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 enableFormatConditionsCalculation="0">
    <tabColor rgb="FF00B050"/>
    <pageSetUpPr fitToPage="1"/>
  </sheetPr>
  <dimension ref="A1:R122"/>
  <sheetViews>
    <sheetView workbookViewId="0">
      <pane xSplit="1" topLeftCell="B1" activePane="topRight" state="frozen"/>
      <selection pane="topRight" activeCell="O5" sqref="O5"/>
    </sheetView>
  </sheetViews>
  <sheetFormatPr baseColWidth="10" defaultColWidth="10.6640625" defaultRowHeight="12" x14ac:dyDescent="0"/>
  <cols>
    <col min="1" max="1" width="17.6640625" bestFit="1" customWidth="1"/>
    <col min="2" max="12" width="9" customWidth="1"/>
    <col min="13" max="13" width="12.5" style="48" customWidth="1"/>
    <col min="14" max="14" width="9" customWidth="1"/>
    <col min="15" max="15" width="9.5" bestFit="1" customWidth="1"/>
    <col min="16" max="16" width="9" style="365" customWidth="1"/>
  </cols>
  <sheetData>
    <row r="1" spans="1:16" ht="17">
      <c r="A1" s="710" t="s">
        <v>151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</row>
    <row r="2" spans="1:16" ht="13" thickBot="1"/>
    <row r="3" spans="1:16" ht="13" thickBot="1">
      <c r="A3" s="454" t="s">
        <v>152</v>
      </c>
      <c r="B3" s="462" t="s">
        <v>2</v>
      </c>
      <c r="C3" s="239" t="s">
        <v>3</v>
      </c>
      <c r="D3" s="239" t="s">
        <v>4</v>
      </c>
      <c r="E3" s="239" t="s">
        <v>5</v>
      </c>
      <c r="F3" s="239" t="s">
        <v>6</v>
      </c>
      <c r="G3" s="239" t="s">
        <v>7</v>
      </c>
      <c r="H3" s="239" t="s">
        <v>8</v>
      </c>
      <c r="I3" s="239" t="s">
        <v>9</v>
      </c>
      <c r="J3" s="239" t="s">
        <v>10</v>
      </c>
      <c r="K3" s="239" t="s">
        <v>11</v>
      </c>
      <c r="L3" s="239" t="s">
        <v>12</v>
      </c>
      <c r="M3" s="240" t="s">
        <v>13</v>
      </c>
      <c r="N3" s="465" t="s">
        <v>147</v>
      </c>
      <c r="O3" s="456" t="s">
        <v>127</v>
      </c>
      <c r="P3" s="525" t="s">
        <v>16</v>
      </c>
    </row>
    <row r="4" spans="1:16" s="154" customFormat="1">
      <c r="A4" s="457" t="s">
        <v>153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9"/>
      <c r="N4" s="458"/>
      <c r="O4" s="458"/>
      <c r="P4" s="559"/>
    </row>
    <row r="5" spans="1:16" s="222" customFormat="1">
      <c r="A5" s="241" t="s">
        <v>154</v>
      </c>
      <c r="B5" s="485">
        <v>176</v>
      </c>
      <c r="C5" s="485">
        <v>0</v>
      </c>
      <c r="D5" s="485">
        <v>493.35</v>
      </c>
      <c r="E5" s="485">
        <v>239.86</v>
      </c>
      <c r="F5" s="485">
        <v>399.67</v>
      </c>
      <c r="G5" s="485">
        <v>416.65</v>
      </c>
      <c r="H5" s="485">
        <v>0</v>
      </c>
      <c r="I5" s="485">
        <v>324.33999999999997</v>
      </c>
      <c r="J5" s="485">
        <v>419.99</v>
      </c>
      <c r="K5" s="485">
        <v>307.45999999999998</v>
      </c>
      <c r="L5" s="485">
        <v>675.82</v>
      </c>
      <c r="M5" s="486">
        <v>258.25</v>
      </c>
      <c r="N5" s="487">
        <f>SUM(B5:M5)</f>
        <v>3711.3900000000008</v>
      </c>
      <c r="O5" s="488">
        <f>SUM('MTRT 2013'!B5:M5)</f>
        <v>4578.57</v>
      </c>
      <c r="P5" s="463">
        <f t="shared" ref="P5:P18" si="0">N5/O5-1</f>
        <v>-0.18939974708260421</v>
      </c>
    </row>
    <row r="6" spans="1:16" s="154" customFormat="1">
      <c r="A6" s="560" t="s">
        <v>155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1"/>
      <c r="N6" s="460"/>
      <c r="O6" s="460"/>
      <c r="P6" s="561"/>
    </row>
    <row r="7" spans="1:16">
      <c r="A7" s="241" t="s">
        <v>156</v>
      </c>
      <c r="B7" s="489">
        <v>657.27</v>
      </c>
      <c r="C7" s="489">
        <v>1215.8499999999999</v>
      </c>
      <c r="D7" s="485">
        <v>524.04</v>
      </c>
      <c r="E7" s="485">
        <v>550.44000000000005</v>
      </c>
      <c r="F7" s="485">
        <v>1188.6300000000001</v>
      </c>
      <c r="G7" s="485">
        <v>785.84</v>
      </c>
      <c r="H7" s="485">
        <v>918.24</v>
      </c>
      <c r="I7" s="485">
        <v>1985.76</v>
      </c>
      <c r="J7" s="485">
        <v>1151.56</v>
      </c>
      <c r="K7" s="485">
        <v>1251.5999999999999</v>
      </c>
      <c r="L7" s="485">
        <v>2120.4</v>
      </c>
      <c r="M7" s="486">
        <v>881.95</v>
      </c>
      <c r="N7" s="487">
        <f t="shared" ref="N7:N100" si="1">SUM(B7:M7)</f>
        <v>13231.58</v>
      </c>
      <c r="O7" s="488">
        <f>SUM('MTRT 2013'!B7:M7)</f>
        <v>13116.63</v>
      </c>
      <c r="P7" s="463">
        <f t="shared" si="0"/>
        <v>8.763683964555069E-3</v>
      </c>
    </row>
    <row r="8" spans="1:16">
      <c r="A8" s="241" t="s">
        <v>157</v>
      </c>
      <c r="B8" s="489">
        <v>336.39</v>
      </c>
      <c r="C8" s="489">
        <v>360.93</v>
      </c>
      <c r="D8" s="485">
        <v>292.93</v>
      </c>
      <c r="E8" s="485">
        <v>227.76</v>
      </c>
      <c r="F8" s="485">
        <v>443.64</v>
      </c>
      <c r="G8" s="485">
        <v>400.74</v>
      </c>
      <c r="H8" s="485">
        <v>488.26</v>
      </c>
      <c r="I8" s="485">
        <v>1391.09</v>
      </c>
      <c r="J8" s="485">
        <v>821.1</v>
      </c>
      <c r="K8" s="485">
        <v>1107.5</v>
      </c>
      <c r="L8" s="485">
        <v>678.81</v>
      </c>
      <c r="M8" s="486">
        <v>1411.53</v>
      </c>
      <c r="N8" s="487">
        <f t="shared" si="1"/>
        <v>7960.6800000000012</v>
      </c>
      <c r="O8" s="488">
        <f>SUM('MTRT 2013'!B8:M8)</f>
        <v>6916.28</v>
      </c>
      <c r="P8" s="463">
        <f t="shared" si="0"/>
        <v>0.15100603214444774</v>
      </c>
    </row>
    <row r="9" spans="1:16">
      <c r="A9" s="241" t="s">
        <v>158</v>
      </c>
      <c r="B9" s="489">
        <v>3170.5</v>
      </c>
      <c r="C9" s="489">
        <v>887.91</v>
      </c>
      <c r="D9" s="485">
        <v>1348.23</v>
      </c>
      <c r="E9" s="485">
        <v>1718.91</v>
      </c>
      <c r="F9" s="485">
        <v>3326.81</v>
      </c>
      <c r="G9" s="485">
        <v>1866.13</v>
      </c>
      <c r="H9" s="485">
        <v>552.41999999999996</v>
      </c>
      <c r="I9" s="485">
        <v>4694.2299999999996</v>
      </c>
      <c r="J9" s="485">
        <v>2611.33</v>
      </c>
      <c r="K9" s="485">
        <v>2652.54</v>
      </c>
      <c r="L9" s="485">
        <v>3014.19</v>
      </c>
      <c r="M9" s="486">
        <v>2028.08</v>
      </c>
      <c r="N9" s="487">
        <f t="shared" si="1"/>
        <v>27871.279999999999</v>
      </c>
      <c r="O9" s="488">
        <f>SUM('MTRT 2013'!B9:M9)</f>
        <v>26365.329999999998</v>
      </c>
      <c r="P9" s="463">
        <f t="shared" si="0"/>
        <v>5.7118572003460599E-2</v>
      </c>
    </row>
    <row r="10" spans="1:16" s="154" customFormat="1">
      <c r="A10" s="560" t="s">
        <v>159</v>
      </c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1"/>
      <c r="N10" s="460"/>
      <c r="O10" s="460"/>
      <c r="P10" s="561"/>
    </row>
    <row r="11" spans="1:16">
      <c r="A11" s="241" t="s">
        <v>160</v>
      </c>
      <c r="B11" s="489">
        <v>5754.92</v>
      </c>
      <c r="C11" s="489">
        <v>6691.07</v>
      </c>
      <c r="D11" s="485">
        <v>5257.16</v>
      </c>
      <c r="E11" s="485">
        <v>6239.4</v>
      </c>
      <c r="F11" s="485">
        <v>10326.799999999999</v>
      </c>
      <c r="G11" s="485">
        <v>7086.21</v>
      </c>
      <c r="H11" s="485">
        <v>9007.2099999999991</v>
      </c>
      <c r="I11" s="485">
        <v>17174.66</v>
      </c>
      <c r="J11" s="485">
        <v>10246.17</v>
      </c>
      <c r="K11" s="485">
        <v>18660.189999999999</v>
      </c>
      <c r="L11" s="485">
        <v>13554.08</v>
      </c>
      <c r="M11" s="486">
        <v>8023.22</v>
      </c>
      <c r="N11" s="487">
        <f>SUM(B11:M11)</f>
        <v>118021.09000000001</v>
      </c>
      <c r="O11" s="488">
        <f>SUM('MTRT 2013'!B11:M11)</f>
        <v>107032.15000000001</v>
      </c>
      <c r="P11" s="463">
        <f t="shared" si="0"/>
        <v>0.10266952499786286</v>
      </c>
    </row>
    <row r="12" spans="1:16">
      <c r="A12" s="241" t="s">
        <v>161</v>
      </c>
      <c r="B12" s="489">
        <v>1791.82</v>
      </c>
      <c r="C12" s="489">
        <v>1923.96</v>
      </c>
      <c r="D12" s="485">
        <v>1220.3399999999999</v>
      </c>
      <c r="E12" s="485">
        <v>1359.59</v>
      </c>
      <c r="F12" s="485">
        <v>1055.18</v>
      </c>
      <c r="G12" s="485">
        <v>3044.48</v>
      </c>
      <c r="H12" s="485">
        <v>0</v>
      </c>
      <c r="I12" s="485">
        <v>3217.84</v>
      </c>
      <c r="J12" s="485">
        <v>2152.5100000000002</v>
      </c>
      <c r="K12" s="485">
        <v>2382.23</v>
      </c>
      <c r="L12" s="485">
        <v>1890.07</v>
      </c>
      <c r="M12" s="486">
        <v>1520.08</v>
      </c>
      <c r="N12" s="487">
        <f t="shared" si="1"/>
        <v>21558.1</v>
      </c>
      <c r="O12" s="488">
        <f>SUM('MTRT 2013'!B12:M12)</f>
        <v>34025.150000000009</v>
      </c>
      <c r="P12" s="463">
        <f t="shared" si="0"/>
        <v>-0.36640690783141316</v>
      </c>
    </row>
    <row r="13" spans="1:16" s="154" customFormat="1">
      <c r="A13" s="560" t="s">
        <v>162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1"/>
      <c r="N13" s="460"/>
      <c r="O13" s="460"/>
      <c r="P13" s="561"/>
    </row>
    <row r="14" spans="1:16">
      <c r="A14" s="241" t="s">
        <v>163</v>
      </c>
      <c r="B14" s="489">
        <v>3484.93</v>
      </c>
      <c r="C14" s="489">
        <v>2663.82</v>
      </c>
      <c r="D14" s="485">
        <v>4125.7700000000004</v>
      </c>
      <c r="E14" s="485">
        <v>2941.82</v>
      </c>
      <c r="F14" s="485">
        <v>5273.93</v>
      </c>
      <c r="G14" s="485">
        <v>6158.86</v>
      </c>
      <c r="H14" s="485">
        <v>5901.53</v>
      </c>
      <c r="I14" s="485">
        <v>3947.71</v>
      </c>
      <c r="J14" s="485">
        <v>4173.54</v>
      </c>
      <c r="K14" s="485">
        <v>4129.72</v>
      </c>
      <c r="L14" s="485">
        <v>5585.76</v>
      </c>
      <c r="M14" s="486">
        <v>6170.61</v>
      </c>
      <c r="N14" s="487">
        <f t="shared" si="1"/>
        <v>54558.000000000007</v>
      </c>
      <c r="O14" s="488">
        <f>SUM('MTRT 2013'!B14:M14)</f>
        <v>53706.990000000005</v>
      </c>
      <c r="P14" s="463">
        <f t="shared" si="0"/>
        <v>1.5845423472810483E-2</v>
      </c>
    </row>
    <row r="15" spans="1:16" s="154" customFormat="1">
      <c r="A15" s="560" t="s">
        <v>164</v>
      </c>
      <c r="B15" s="460"/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1"/>
      <c r="N15" s="460"/>
      <c r="O15" s="460"/>
      <c r="P15" s="561"/>
    </row>
    <row r="16" spans="1:16" s="154" customFormat="1">
      <c r="A16" s="560" t="s">
        <v>165</v>
      </c>
      <c r="B16" s="460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1"/>
      <c r="N16" s="460"/>
      <c r="O16" s="460"/>
      <c r="P16" s="561"/>
    </row>
    <row r="17" spans="1:18">
      <c r="A17" s="241" t="s">
        <v>166</v>
      </c>
      <c r="B17" s="489">
        <v>339.92</v>
      </c>
      <c r="C17" s="489">
        <v>334.57</v>
      </c>
      <c r="D17" s="485">
        <v>312.07</v>
      </c>
      <c r="E17" s="485">
        <v>329.31</v>
      </c>
      <c r="F17" s="485">
        <v>587.29999999999995</v>
      </c>
      <c r="G17" s="485">
        <v>477.63</v>
      </c>
      <c r="H17" s="485">
        <v>667.19</v>
      </c>
      <c r="I17" s="485">
        <v>881</v>
      </c>
      <c r="J17" s="562">
        <v>774.09</v>
      </c>
      <c r="K17" s="485">
        <v>907.02</v>
      </c>
      <c r="L17" s="485">
        <v>748.68</v>
      </c>
      <c r="M17" s="486">
        <v>587.52</v>
      </c>
      <c r="N17" s="487">
        <f t="shared" si="1"/>
        <v>6946.3000000000011</v>
      </c>
      <c r="O17" s="488">
        <f>SUM('MTRT 2013'!B17:M17)</f>
        <v>5813.08</v>
      </c>
      <c r="P17" s="463">
        <f t="shared" si="0"/>
        <v>0.19494312825558935</v>
      </c>
      <c r="R17" s="460"/>
    </row>
    <row r="18" spans="1:18">
      <c r="A18" s="241" t="s">
        <v>167</v>
      </c>
      <c r="B18" s="489">
        <v>12.2</v>
      </c>
      <c r="C18" s="489">
        <v>0</v>
      </c>
      <c r="D18" s="485">
        <v>0</v>
      </c>
      <c r="E18" s="485">
        <v>5.31</v>
      </c>
      <c r="F18" s="485">
        <v>7.09</v>
      </c>
      <c r="G18" s="485">
        <v>2.2200000000000002</v>
      </c>
      <c r="H18" s="485">
        <v>3068.23</v>
      </c>
      <c r="I18" s="485">
        <v>944.52</v>
      </c>
      <c r="J18" s="562">
        <v>3080.68</v>
      </c>
      <c r="K18" s="485">
        <v>3418.42</v>
      </c>
      <c r="L18" s="485">
        <v>1898.95</v>
      </c>
      <c r="M18" s="486">
        <v>1733.46</v>
      </c>
      <c r="N18" s="487">
        <f t="shared" si="1"/>
        <v>14171.080000000002</v>
      </c>
      <c r="O18" s="488">
        <f>SUM('MTRT 2013'!B18:M18)</f>
        <v>3941.7500000000005</v>
      </c>
      <c r="P18" s="463">
        <f t="shared" si="0"/>
        <v>2.5951239931502506</v>
      </c>
    </row>
    <row r="19" spans="1:18">
      <c r="A19" s="241" t="s">
        <v>168</v>
      </c>
      <c r="B19" s="485">
        <v>10105.25</v>
      </c>
      <c r="C19" s="485">
        <v>11588.08</v>
      </c>
      <c r="D19" s="485">
        <v>12859.42</v>
      </c>
      <c r="E19" s="485">
        <v>11283.64</v>
      </c>
      <c r="F19" s="485">
        <v>19199.73</v>
      </c>
      <c r="G19" s="485">
        <v>15158.04</v>
      </c>
      <c r="H19" s="485">
        <v>18749.36</v>
      </c>
      <c r="I19" s="485">
        <v>16318.1</v>
      </c>
      <c r="J19" s="562">
        <v>20996.2</v>
      </c>
      <c r="K19" s="485">
        <v>20778.330000000002</v>
      </c>
      <c r="L19" s="485">
        <v>20618.48</v>
      </c>
      <c r="M19" s="486">
        <v>15337.51</v>
      </c>
      <c r="N19" s="487">
        <f t="shared" si="1"/>
        <v>192992.14000000004</v>
      </c>
      <c r="O19" s="488">
        <f>SUM('MTRT 2013'!B19:M19)</f>
        <v>161970.01999999999</v>
      </c>
      <c r="P19" s="463">
        <f>N19/O19-1</f>
        <v>0.19153001277643877</v>
      </c>
    </row>
    <row r="20" spans="1:18">
      <c r="A20" s="241" t="s">
        <v>169</v>
      </c>
      <c r="B20" s="485">
        <v>0</v>
      </c>
      <c r="C20" s="485">
        <v>2513.23</v>
      </c>
      <c r="D20" s="485">
        <v>2474.98</v>
      </c>
      <c r="E20" s="485">
        <v>1805.81</v>
      </c>
      <c r="F20" s="485">
        <v>2601.17</v>
      </c>
      <c r="G20" s="485">
        <v>1519.91</v>
      </c>
      <c r="H20" s="485">
        <v>0</v>
      </c>
      <c r="I20" s="485">
        <v>7075.21</v>
      </c>
      <c r="J20" s="562">
        <v>0</v>
      </c>
      <c r="K20" s="485">
        <v>5386.26</v>
      </c>
      <c r="L20" s="485">
        <v>4486.5200000000004</v>
      </c>
      <c r="M20" s="486">
        <v>1888.17</v>
      </c>
      <c r="N20" s="487">
        <f t="shared" si="1"/>
        <v>29751.260000000002</v>
      </c>
      <c r="O20" s="488">
        <f>SUM('MTRT 2013'!B20:M20)</f>
        <v>24844.43</v>
      </c>
      <c r="P20" s="463">
        <f t="shared" ref="P20:P52" si="2">N20/O20-1</f>
        <v>0.19750221679466984</v>
      </c>
    </row>
    <row r="21" spans="1:18">
      <c r="A21" s="241" t="s">
        <v>170</v>
      </c>
      <c r="B21" s="490">
        <v>0</v>
      </c>
      <c r="C21" s="485">
        <v>644.57000000000005</v>
      </c>
      <c r="D21" s="485">
        <v>0</v>
      </c>
      <c r="E21" s="490">
        <v>0</v>
      </c>
      <c r="F21" s="490">
        <v>530.17999999999995</v>
      </c>
      <c r="G21" s="485">
        <v>0</v>
      </c>
      <c r="H21" s="485">
        <v>0</v>
      </c>
      <c r="I21" s="485">
        <v>955.33</v>
      </c>
      <c r="J21" s="562">
        <v>0</v>
      </c>
      <c r="K21" s="485">
        <v>0</v>
      </c>
      <c r="L21" s="485">
        <v>1285.93</v>
      </c>
      <c r="M21" s="486">
        <v>0</v>
      </c>
      <c r="N21" s="487">
        <f t="shared" si="1"/>
        <v>3416.01</v>
      </c>
      <c r="O21" s="488">
        <f>SUM('MTRT 2013'!B21:M21)</f>
        <v>2401.0500000000002</v>
      </c>
      <c r="P21" s="463">
        <f t="shared" si="2"/>
        <v>0.42271506216030486</v>
      </c>
    </row>
    <row r="22" spans="1:18">
      <c r="A22" s="241" t="s">
        <v>171</v>
      </c>
      <c r="B22" s="490">
        <v>1120.1099999999999</v>
      </c>
      <c r="C22" s="485">
        <v>2079.17</v>
      </c>
      <c r="D22" s="485">
        <v>3915.92</v>
      </c>
      <c r="E22" s="490">
        <v>2549.2399999999998</v>
      </c>
      <c r="F22" s="490">
        <v>3031.84</v>
      </c>
      <c r="G22" s="485">
        <v>3147.03</v>
      </c>
      <c r="H22" s="485">
        <v>1849.12</v>
      </c>
      <c r="I22" s="485">
        <v>5709.88</v>
      </c>
      <c r="J22" s="562">
        <v>2906.92</v>
      </c>
      <c r="K22" s="485">
        <v>6256.92</v>
      </c>
      <c r="L22" s="485">
        <v>4029.14</v>
      </c>
      <c r="M22" s="486">
        <v>3669.28</v>
      </c>
      <c r="N22" s="487">
        <f t="shared" si="1"/>
        <v>40264.57</v>
      </c>
      <c r="O22" s="488">
        <f>SUM('MTRT 2013'!B22:M22)</f>
        <v>36743.4</v>
      </c>
      <c r="P22" s="463">
        <f t="shared" si="2"/>
        <v>9.5831360189857273E-2</v>
      </c>
    </row>
    <row r="23" spans="1:18">
      <c r="A23" s="241" t="s">
        <v>172</v>
      </c>
      <c r="B23" s="485">
        <v>0</v>
      </c>
      <c r="C23" s="485">
        <v>1069.92</v>
      </c>
      <c r="D23" s="485">
        <v>2352.7600000000002</v>
      </c>
      <c r="E23" s="485">
        <v>0</v>
      </c>
      <c r="F23" s="485">
        <v>1674.9</v>
      </c>
      <c r="G23" s="490">
        <v>3139.66</v>
      </c>
      <c r="H23" s="490">
        <v>0</v>
      </c>
      <c r="I23" s="485">
        <v>1896.41</v>
      </c>
      <c r="J23" s="562">
        <v>2091.21</v>
      </c>
      <c r="K23" s="485">
        <v>2369.9699999999998</v>
      </c>
      <c r="L23" s="485">
        <v>1497.38</v>
      </c>
      <c r="M23" s="486">
        <v>1475.92</v>
      </c>
      <c r="N23" s="487">
        <f t="shared" si="1"/>
        <v>17568.129999999997</v>
      </c>
      <c r="O23" s="488">
        <f>SUM('MTRT 2013'!B23:M23)</f>
        <v>19598.22</v>
      </c>
      <c r="P23" s="463">
        <f t="shared" si="2"/>
        <v>-0.10358542765618528</v>
      </c>
    </row>
    <row r="24" spans="1:18" s="154" customFormat="1">
      <c r="A24" s="560" t="s">
        <v>173</v>
      </c>
      <c r="B24" s="460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1"/>
      <c r="N24" s="460"/>
      <c r="O24" s="460"/>
      <c r="P24" s="561"/>
    </row>
    <row r="25" spans="1:18">
      <c r="A25" s="241" t="s">
        <v>174</v>
      </c>
      <c r="B25" s="489">
        <v>1238.9100000000001</v>
      </c>
      <c r="C25" s="489">
        <v>1782.97</v>
      </c>
      <c r="D25" s="485">
        <v>434.59</v>
      </c>
      <c r="E25" s="485">
        <v>562.62</v>
      </c>
      <c r="F25" s="485">
        <v>1136.5</v>
      </c>
      <c r="G25" s="485">
        <v>582.55999999999995</v>
      </c>
      <c r="H25" s="485">
        <v>778.11</v>
      </c>
      <c r="I25" s="485">
        <v>1438.45</v>
      </c>
      <c r="J25" s="562">
        <v>1292.93</v>
      </c>
      <c r="K25" s="485">
        <v>1012.47</v>
      </c>
      <c r="L25" s="485">
        <v>1012.56</v>
      </c>
      <c r="M25" s="486">
        <v>2210.96</v>
      </c>
      <c r="N25" s="487">
        <f t="shared" si="1"/>
        <v>13483.629999999997</v>
      </c>
      <c r="O25" s="488">
        <f>SUM('MTRT 2013'!B25:M25)</f>
        <v>18739.09</v>
      </c>
      <c r="P25" s="463">
        <f t="shared" si="2"/>
        <v>-0.28045438705935044</v>
      </c>
    </row>
    <row r="26" spans="1:18" s="154" customFormat="1">
      <c r="A26" s="560" t="s">
        <v>175</v>
      </c>
      <c r="B26" s="460"/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1"/>
      <c r="N26" s="460"/>
      <c r="O26" s="460"/>
      <c r="P26" s="561"/>
    </row>
    <row r="27" spans="1:18">
      <c r="A27" s="241" t="s">
        <v>176</v>
      </c>
      <c r="B27" s="489">
        <v>2630.31</v>
      </c>
      <c r="C27" s="489">
        <v>2131.89</v>
      </c>
      <c r="D27" s="485">
        <v>1927.85</v>
      </c>
      <c r="E27" s="485">
        <v>1051.52</v>
      </c>
      <c r="F27" s="485">
        <v>4354.01</v>
      </c>
      <c r="G27" s="485">
        <v>6925.9</v>
      </c>
      <c r="H27" s="485">
        <v>11123.23</v>
      </c>
      <c r="I27" s="485">
        <v>12850.36</v>
      </c>
      <c r="J27" s="562">
        <v>7539.33</v>
      </c>
      <c r="K27" s="485">
        <v>6902.06</v>
      </c>
      <c r="L27" s="485">
        <v>12977.26</v>
      </c>
      <c r="M27" s="486">
        <v>8405.81</v>
      </c>
      <c r="N27" s="487">
        <f t="shared" si="1"/>
        <v>78819.53</v>
      </c>
      <c r="O27" s="488">
        <f>SUM('MTRT 2013'!B27:M27)</f>
        <v>69448.490000000005</v>
      </c>
      <c r="P27" s="463">
        <f t="shared" si="2"/>
        <v>0.13493511521992763</v>
      </c>
    </row>
    <row r="28" spans="1:18" s="154" customFormat="1">
      <c r="A28" s="560" t="s">
        <v>177</v>
      </c>
      <c r="B28" s="460"/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1"/>
      <c r="N28" s="460"/>
      <c r="O28" s="460"/>
      <c r="P28" s="561"/>
    </row>
    <row r="29" spans="1:18">
      <c r="A29" s="241" t="s">
        <v>178</v>
      </c>
      <c r="B29" s="489">
        <v>315.85000000000002</v>
      </c>
      <c r="C29" s="489">
        <v>1433.88</v>
      </c>
      <c r="D29" s="485">
        <v>67.11</v>
      </c>
      <c r="E29" s="485">
        <v>506.55</v>
      </c>
      <c r="F29" s="485">
        <v>908.58</v>
      </c>
      <c r="G29" s="485">
        <v>1317</v>
      </c>
      <c r="H29" s="485">
        <v>857.45</v>
      </c>
      <c r="I29" s="485">
        <v>4190.71</v>
      </c>
      <c r="J29" s="562">
        <v>878.11</v>
      </c>
      <c r="K29" s="485">
        <v>1123.69</v>
      </c>
      <c r="L29" s="485">
        <v>4177.32</v>
      </c>
      <c r="M29" s="486">
        <v>811.93</v>
      </c>
      <c r="N29" s="487">
        <f t="shared" si="1"/>
        <v>16588.18</v>
      </c>
      <c r="O29" s="488">
        <f>SUM('MTRT 2013'!B29:M29)</f>
        <v>15040.170000000002</v>
      </c>
      <c r="P29" s="463">
        <f t="shared" si="2"/>
        <v>0.10292503342714854</v>
      </c>
    </row>
    <row r="30" spans="1:18" s="154" customFormat="1">
      <c r="A30" s="560" t="s">
        <v>179</v>
      </c>
      <c r="B30" s="460"/>
      <c r="C30" s="460"/>
      <c r="D30" s="460"/>
      <c r="E30" s="460"/>
      <c r="F30" s="460"/>
      <c r="G30" s="460"/>
      <c r="H30" s="460"/>
      <c r="I30" s="460"/>
      <c r="J30" s="460"/>
      <c r="K30" s="460"/>
      <c r="L30" s="460"/>
      <c r="M30" s="461"/>
      <c r="N30" s="460"/>
      <c r="O30" s="460"/>
      <c r="P30" s="561"/>
    </row>
    <row r="31" spans="1:18">
      <c r="A31" s="241" t="s">
        <v>180</v>
      </c>
      <c r="B31" s="489">
        <v>23992.720000000001</v>
      </c>
      <c r="C31" s="489">
        <v>19671.28</v>
      </c>
      <c r="D31" s="485">
        <v>13428.13</v>
      </c>
      <c r="E31" s="485">
        <v>18912.43</v>
      </c>
      <c r="F31" s="485">
        <v>69422.679999999993</v>
      </c>
      <c r="G31" s="485">
        <v>89541.54</v>
      </c>
      <c r="H31" s="485">
        <v>107951.18</v>
      </c>
      <c r="I31" s="485">
        <v>130498.72</v>
      </c>
      <c r="J31" s="562">
        <v>86038.13</v>
      </c>
      <c r="K31" s="485">
        <v>100320.16</v>
      </c>
      <c r="L31" s="485">
        <v>135023.34</v>
      </c>
      <c r="M31" s="486">
        <v>82509.38</v>
      </c>
      <c r="N31" s="487">
        <f t="shared" si="1"/>
        <v>877309.69</v>
      </c>
      <c r="O31" s="488">
        <f>SUM('MTRT 2013'!B31:M31)</f>
        <v>756896.65999999992</v>
      </c>
      <c r="P31" s="463">
        <f t="shared" si="2"/>
        <v>0.15908780731044581</v>
      </c>
    </row>
    <row r="32" spans="1:18" s="154" customFormat="1">
      <c r="A32" s="560" t="s">
        <v>181</v>
      </c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1"/>
      <c r="N32" s="460"/>
      <c r="O32" s="460"/>
      <c r="P32" s="561"/>
    </row>
    <row r="33" spans="1:16">
      <c r="A33" s="241" t="s">
        <v>182</v>
      </c>
      <c r="B33" s="489">
        <v>6982.44</v>
      </c>
      <c r="C33" s="489">
        <v>9332.9</v>
      </c>
      <c r="D33" s="485">
        <v>6826.2</v>
      </c>
      <c r="E33" s="485">
        <v>10054.98</v>
      </c>
      <c r="F33" s="485">
        <v>12923.87</v>
      </c>
      <c r="G33" s="485">
        <v>15884.27</v>
      </c>
      <c r="H33" s="485">
        <v>15739.84</v>
      </c>
      <c r="I33" s="485">
        <v>27090.5</v>
      </c>
      <c r="J33" s="562">
        <v>19696.7</v>
      </c>
      <c r="K33" s="485">
        <v>21506.25</v>
      </c>
      <c r="L33" s="485">
        <v>28582.26</v>
      </c>
      <c r="M33" s="486">
        <v>20332.009999999998</v>
      </c>
      <c r="N33" s="487">
        <f t="shared" si="1"/>
        <v>194952.22000000003</v>
      </c>
      <c r="O33" s="488">
        <f>SUM('MTRT 2013'!B33:M33)</f>
        <v>14395.01</v>
      </c>
      <c r="P33" s="463">
        <f t="shared" ref="P33:P36" si="3">N33/O33-1</f>
        <v>12.543041651238868</v>
      </c>
    </row>
    <row r="34" spans="1:16">
      <c r="A34" s="241" t="s">
        <v>183</v>
      </c>
      <c r="B34" s="489">
        <v>2600.98</v>
      </c>
      <c r="C34" s="489">
        <v>7159.63</v>
      </c>
      <c r="D34" s="485">
        <v>3793.8</v>
      </c>
      <c r="E34" s="485">
        <v>5013.88</v>
      </c>
      <c r="F34" s="485">
        <v>5590.81</v>
      </c>
      <c r="G34" s="485">
        <v>942.5</v>
      </c>
      <c r="H34" s="485">
        <v>1631.42</v>
      </c>
      <c r="I34" s="485">
        <v>4761.38</v>
      </c>
      <c r="J34" s="562">
        <v>3200.88</v>
      </c>
      <c r="K34" s="485">
        <v>3595.26</v>
      </c>
      <c r="L34" s="485">
        <v>3821.42</v>
      </c>
      <c r="M34" s="486">
        <v>1257.96</v>
      </c>
      <c r="N34" s="487">
        <f t="shared" si="1"/>
        <v>43369.920000000006</v>
      </c>
      <c r="O34" s="488">
        <f>SUM('MTRT 2013'!B34:M34)</f>
        <v>922.83</v>
      </c>
      <c r="P34" s="463">
        <f t="shared" si="3"/>
        <v>45.996651604304155</v>
      </c>
    </row>
    <row r="35" spans="1:16" s="154" customFormat="1">
      <c r="A35" s="560" t="s">
        <v>184</v>
      </c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1"/>
      <c r="N35" s="460"/>
      <c r="O35" s="460"/>
      <c r="P35" s="561"/>
    </row>
    <row r="36" spans="1:16">
      <c r="A36" s="241" t="s">
        <v>185</v>
      </c>
      <c r="B36" s="489">
        <v>0</v>
      </c>
      <c r="C36" s="489">
        <v>0</v>
      </c>
      <c r="D36" s="485">
        <v>0</v>
      </c>
      <c r="E36" s="485">
        <v>0</v>
      </c>
      <c r="F36" s="485">
        <v>0</v>
      </c>
      <c r="G36" s="485">
        <v>0</v>
      </c>
      <c r="H36" s="485">
        <v>0</v>
      </c>
      <c r="I36" s="485">
        <v>0</v>
      </c>
      <c r="J36" s="485">
        <v>0</v>
      </c>
      <c r="K36" s="485">
        <v>0</v>
      </c>
      <c r="L36" s="485">
        <v>0</v>
      </c>
      <c r="M36" s="486">
        <v>0</v>
      </c>
      <c r="N36" s="487">
        <f t="shared" si="1"/>
        <v>0</v>
      </c>
      <c r="O36" s="488">
        <f>SUM('MTRT 2013'!B36:M36)</f>
        <v>0</v>
      </c>
      <c r="P36" s="463" t="e">
        <f t="shared" si="3"/>
        <v>#DIV/0!</v>
      </c>
    </row>
    <row r="37" spans="1:16" s="154" customFormat="1">
      <c r="A37" s="560" t="s">
        <v>186</v>
      </c>
      <c r="B37" s="460"/>
      <c r="C37" s="460"/>
      <c r="D37" s="460"/>
      <c r="E37" s="460"/>
      <c r="F37" s="460"/>
      <c r="G37" s="460"/>
      <c r="H37" s="460"/>
      <c r="I37" s="460"/>
      <c r="J37" s="460"/>
      <c r="K37" s="460"/>
      <c r="L37" s="460"/>
      <c r="M37" s="461"/>
      <c r="N37" s="460"/>
      <c r="O37" s="460"/>
      <c r="P37" s="561"/>
    </row>
    <row r="38" spans="1:16">
      <c r="A38" s="241" t="s">
        <v>187</v>
      </c>
      <c r="B38" s="489">
        <v>127.71</v>
      </c>
      <c r="C38" s="489">
        <v>98.53</v>
      </c>
      <c r="D38" s="485">
        <v>109.58</v>
      </c>
      <c r="E38" s="485">
        <v>50.78</v>
      </c>
      <c r="F38" s="485">
        <v>67.540000000000006</v>
      </c>
      <c r="G38" s="485">
        <v>0</v>
      </c>
      <c r="H38" s="485">
        <v>154.13</v>
      </c>
      <c r="I38" s="485">
        <v>462.94</v>
      </c>
      <c r="J38" s="562">
        <v>478.03</v>
      </c>
      <c r="K38" s="485">
        <v>55.41</v>
      </c>
      <c r="L38" s="485">
        <v>344.55</v>
      </c>
      <c r="M38" s="486">
        <v>0</v>
      </c>
      <c r="N38" s="487">
        <f t="shared" si="1"/>
        <v>1949.2</v>
      </c>
      <c r="O38" s="488">
        <f>SUM('MTRT 2013'!B38:M38)</f>
        <v>1963.6399999999999</v>
      </c>
      <c r="P38" s="463">
        <f t="shared" si="2"/>
        <v>-7.3536900857590348E-3</v>
      </c>
    </row>
    <row r="39" spans="1:16">
      <c r="A39" s="241" t="s">
        <v>188</v>
      </c>
      <c r="B39" s="489">
        <v>3913.18</v>
      </c>
      <c r="C39" s="489">
        <v>5406.98</v>
      </c>
      <c r="D39" s="485">
        <v>3100.5</v>
      </c>
      <c r="E39" s="485">
        <v>1996.39</v>
      </c>
      <c r="F39" s="485">
        <v>7935.14</v>
      </c>
      <c r="G39" s="485">
        <v>9963.9599999999991</v>
      </c>
      <c r="H39" s="485">
        <v>11906.95</v>
      </c>
      <c r="I39" s="485">
        <v>24359.38</v>
      </c>
      <c r="J39" s="562">
        <v>13182.7</v>
      </c>
      <c r="K39" s="485">
        <v>13410.92</v>
      </c>
      <c r="L39" s="485">
        <v>27720.52</v>
      </c>
      <c r="M39" s="486">
        <v>9319.1</v>
      </c>
      <c r="N39" s="487">
        <f t="shared" si="1"/>
        <v>132215.72</v>
      </c>
      <c r="O39" s="488">
        <f>SUM('MTRT 2013'!B39:M39)</f>
        <v>119991.84</v>
      </c>
      <c r="P39" s="463">
        <f t="shared" si="2"/>
        <v>0.10187259400305892</v>
      </c>
    </row>
    <row r="40" spans="1:16" s="154" customFormat="1">
      <c r="A40" s="560" t="s">
        <v>189</v>
      </c>
      <c r="B40" s="460"/>
      <c r="C40" s="460"/>
      <c r="D40" s="460"/>
      <c r="E40" s="460"/>
      <c r="F40" s="460"/>
      <c r="G40" s="460"/>
      <c r="H40" s="460"/>
      <c r="I40" s="460"/>
      <c r="J40" s="460"/>
      <c r="K40" s="460"/>
      <c r="L40" s="460"/>
      <c r="M40" s="461"/>
      <c r="N40" s="460"/>
      <c r="O40" s="460"/>
      <c r="P40" s="561"/>
    </row>
    <row r="41" spans="1:16">
      <c r="A41" s="241" t="s">
        <v>190</v>
      </c>
      <c r="B41" s="489">
        <v>828.58</v>
      </c>
      <c r="C41" s="489">
        <v>1057.5</v>
      </c>
      <c r="D41" s="485">
        <v>556.5</v>
      </c>
      <c r="E41" s="485">
        <v>489.91</v>
      </c>
      <c r="F41" s="485">
        <v>1963.32</v>
      </c>
      <c r="G41" s="485">
        <v>1272.05</v>
      </c>
      <c r="H41" s="485">
        <v>1104.67</v>
      </c>
      <c r="I41" s="485">
        <v>2119.96</v>
      </c>
      <c r="J41" s="562">
        <v>1158.05</v>
      </c>
      <c r="K41" s="485">
        <v>1088.21</v>
      </c>
      <c r="L41" s="485">
        <v>1816.65</v>
      </c>
      <c r="M41" s="486">
        <v>2207.33</v>
      </c>
      <c r="N41" s="487">
        <f t="shared" si="1"/>
        <v>15662.73</v>
      </c>
      <c r="O41" s="488">
        <f>SUM('MTRT 2013'!B41:M41)</f>
        <v>16074.88</v>
      </c>
      <c r="P41" s="463">
        <f t="shared" si="2"/>
        <v>-2.5639382689015333E-2</v>
      </c>
    </row>
    <row r="42" spans="1:16">
      <c r="A42" s="241" t="s">
        <v>191</v>
      </c>
      <c r="B42" s="489">
        <v>1241.79</v>
      </c>
      <c r="C42" s="489">
        <v>1335.81</v>
      </c>
      <c r="D42" s="485">
        <v>1008.28</v>
      </c>
      <c r="E42" s="485">
        <v>865.54</v>
      </c>
      <c r="F42" s="485">
        <v>1692.69</v>
      </c>
      <c r="G42" s="485">
        <v>1810.27</v>
      </c>
      <c r="H42" s="485">
        <v>1017.13</v>
      </c>
      <c r="I42" s="485">
        <v>2859.09</v>
      </c>
      <c r="J42" s="562">
        <v>2071.7600000000002</v>
      </c>
      <c r="K42" s="485">
        <v>1943.87</v>
      </c>
      <c r="L42" s="485">
        <v>2662.31</v>
      </c>
      <c r="M42" s="486">
        <v>1633.87</v>
      </c>
      <c r="N42" s="487">
        <f t="shared" si="1"/>
        <v>20142.41</v>
      </c>
      <c r="O42" s="488">
        <f>SUM('MTRT 2013'!B42:M42)</f>
        <v>20372.080000000002</v>
      </c>
      <c r="P42" s="463">
        <f t="shared" si="2"/>
        <v>-1.1273762914734364E-2</v>
      </c>
    </row>
    <row r="43" spans="1:16" s="154" customFormat="1">
      <c r="A43" s="563" t="s">
        <v>192</v>
      </c>
      <c r="B43" s="478"/>
      <c r="C43" s="478"/>
      <c r="D43" s="478"/>
      <c r="E43" s="478"/>
      <c r="F43" s="478"/>
      <c r="G43" s="478"/>
      <c r="H43" s="478"/>
      <c r="I43" s="478"/>
      <c r="J43" s="478"/>
      <c r="K43" s="478"/>
      <c r="L43" s="478"/>
      <c r="M43" s="479"/>
      <c r="N43" s="478"/>
      <c r="O43" s="478"/>
      <c r="P43" s="564"/>
    </row>
    <row r="44" spans="1:16" s="154" customFormat="1">
      <c r="A44" s="560" t="s">
        <v>193</v>
      </c>
      <c r="B44" s="460"/>
      <c r="C44" s="460"/>
      <c r="D44" s="460"/>
      <c r="E44" s="460"/>
      <c r="F44" s="460"/>
      <c r="G44" s="460"/>
      <c r="H44" s="460"/>
      <c r="I44" s="460"/>
      <c r="J44" s="460"/>
      <c r="K44" s="460"/>
      <c r="L44" s="460"/>
      <c r="M44" s="461"/>
      <c r="N44" s="460"/>
      <c r="O44" s="460"/>
      <c r="P44" s="561"/>
    </row>
    <row r="45" spans="1:16" s="154" customFormat="1">
      <c r="A45" s="560" t="s">
        <v>194</v>
      </c>
      <c r="B45" s="460"/>
      <c r="C45" s="460"/>
      <c r="D45" s="460"/>
      <c r="E45" s="460"/>
      <c r="F45" s="460"/>
      <c r="G45" s="460"/>
      <c r="H45" s="460"/>
      <c r="I45" s="460"/>
      <c r="J45" s="460"/>
      <c r="K45" s="460"/>
      <c r="L45" s="460"/>
      <c r="M45" s="461"/>
      <c r="N45" s="460"/>
      <c r="O45" s="460"/>
      <c r="P45" s="561"/>
    </row>
    <row r="46" spans="1:16" s="154" customFormat="1">
      <c r="A46" s="560" t="s">
        <v>195</v>
      </c>
      <c r="B46" s="460"/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1"/>
      <c r="N46" s="460"/>
      <c r="O46" s="460"/>
      <c r="P46" s="561"/>
    </row>
    <row r="47" spans="1:16">
      <c r="A47" s="241" t="s">
        <v>196</v>
      </c>
      <c r="B47" s="489">
        <v>3035.98</v>
      </c>
      <c r="C47" s="489">
        <v>3827.67</v>
      </c>
      <c r="D47" s="485">
        <v>2332.85</v>
      </c>
      <c r="E47" s="485">
        <v>1775.11</v>
      </c>
      <c r="F47" s="485">
        <v>5297.61</v>
      </c>
      <c r="G47" s="485">
        <v>758.26</v>
      </c>
      <c r="H47" s="485">
        <v>197.73</v>
      </c>
      <c r="I47" s="485">
        <v>2928.78</v>
      </c>
      <c r="J47" s="562">
        <v>1377.51</v>
      </c>
      <c r="K47" s="485">
        <v>255.81</v>
      </c>
      <c r="L47" s="485">
        <v>2154.73</v>
      </c>
      <c r="M47" s="486">
        <v>843.89</v>
      </c>
      <c r="N47" s="487">
        <f t="shared" si="1"/>
        <v>24785.929999999997</v>
      </c>
      <c r="O47" s="488">
        <f>SUM('MTRT 2013'!B47:M47)</f>
        <v>23727.43</v>
      </c>
      <c r="P47" s="463">
        <f>N47/O47-1</f>
        <v>4.4610815414901417E-2</v>
      </c>
    </row>
    <row r="48" spans="1:16">
      <c r="A48" s="241" t="s">
        <v>198</v>
      </c>
      <c r="B48" s="489">
        <v>4239.3599999999997</v>
      </c>
      <c r="C48" s="489">
        <v>3923.74</v>
      </c>
      <c r="D48" s="485">
        <v>5710.47</v>
      </c>
      <c r="E48" s="485">
        <v>5245.59</v>
      </c>
      <c r="F48" s="485">
        <v>5990.03</v>
      </c>
      <c r="G48" s="485">
        <v>5721.4</v>
      </c>
      <c r="H48" s="485">
        <v>6313.94</v>
      </c>
      <c r="I48" s="485">
        <v>7886.15</v>
      </c>
      <c r="J48" s="562">
        <v>6248.84</v>
      </c>
      <c r="K48" s="485">
        <v>7320.09</v>
      </c>
      <c r="L48" s="485">
        <v>6181.04</v>
      </c>
      <c r="M48" s="486">
        <v>5424.83</v>
      </c>
      <c r="N48" s="487">
        <f t="shared" si="1"/>
        <v>70205.48</v>
      </c>
      <c r="O48" s="488">
        <f>SUM('MTRT 2013'!B48:M48)</f>
        <v>67065.62</v>
      </c>
      <c r="P48" s="463">
        <f>N48/O48-1</f>
        <v>4.681772866634204E-2</v>
      </c>
    </row>
    <row r="49" spans="1:16">
      <c r="A49" s="241" t="s">
        <v>199</v>
      </c>
      <c r="B49" s="489">
        <v>1780.93</v>
      </c>
      <c r="C49" s="489">
        <v>9145.4699999999993</v>
      </c>
      <c r="D49" s="485">
        <v>3582.98</v>
      </c>
      <c r="E49" s="485">
        <v>3869.1</v>
      </c>
      <c r="F49" s="485">
        <v>16376.1</v>
      </c>
      <c r="G49" s="485">
        <v>2892.86</v>
      </c>
      <c r="H49" s="485">
        <v>2657.64</v>
      </c>
      <c r="I49" s="485">
        <v>12717.93</v>
      </c>
      <c r="J49" s="562">
        <v>6930.12</v>
      </c>
      <c r="K49" s="485">
        <v>8061.77</v>
      </c>
      <c r="L49" s="485">
        <v>6781.82</v>
      </c>
      <c r="M49" s="486">
        <v>5305.95</v>
      </c>
      <c r="N49" s="487">
        <f t="shared" si="1"/>
        <v>80102.67</v>
      </c>
      <c r="O49" s="488">
        <f>SUM('MTRT 2013'!B49:M49)</f>
        <v>44775.87</v>
      </c>
      <c r="P49" s="463">
        <f t="shared" si="2"/>
        <v>0.78896959456064164</v>
      </c>
    </row>
    <row r="50" spans="1:16">
      <c r="A50" s="241" t="s">
        <v>200</v>
      </c>
      <c r="B50" s="489">
        <v>6308.34</v>
      </c>
      <c r="C50" s="489">
        <v>9244.5</v>
      </c>
      <c r="D50" s="485">
        <v>11518.6</v>
      </c>
      <c r="E50" s="485">
        <v>11213.13</v>
      </c>
      <c r="F50" s="485">
        <v>9227.4</v>
      </c>
      <c r="G50" s="485">
        <v>10252.459999999999</v>
      </c>
      <c r="H50" s="485">
        <v>10006.64</v>
      </c>
      <c r="I50" s="485">
        <v>11542.11</v>
      </c>
      <c r="J50" s="562">
        <v>14054.88</v>
      </c>
      <c r="K50" s="485">
        <v>10158.120000000001</v>
      </c>
      <c r="L50" s="485">
        <v>13033.24</v>
      </c>
      <c r="M50" s="486">
        <v>7495.32</v>
      </c>
      <c r="N50" s="487">
        <f t="shared" si="1"/>
        <v>124054.74000000002</v>
      </c>
      <c r="O50" s="488">
        <f>SUM('MTRT 2013'!B50:M50)</f>
        <v>108263.4</v>
      </c>
      <c r="P50" s="463">
        <f t="shared" si="2"/>
        <v>0.14586037386596051</v>
      </c>
    </row>
    <row r="51" spans="1:16">
      <c r="A51" s="241" t="s">
        <v>201</v>
      </c>
      <c r="B51" s="489">
        <v>4550.21</v>
      </c>
      <c r="C51" s="489">
        <v>5818.14</v>
      </c>
      <c r="D51" s="485">
        <v>9167.6</v>
      </c>
      <c r="E51" s="485">
        <v>6706.07</v>
      </c>
      <c r="F51" s="485">
        <v>8118.79</v>
      </c>
      <c r="G51" s="485">
        <v>8134.85</v>
      </c>
      <c r="H51" s="485">
        <v>6166.88</v>
      </c>
      <c r="I51" s="485">
        <v>10553.5</v>
      </c>
      <c r="J51" s="562">
        <v>7557.16</v>
      </c>
      <c r="K51" s="485">
        <v>11404.34</v>
      </c>
      <c r="L51" s="485">
        <v>14684.38</v>
      </c>
      <c r="M51" s="486">
        <v>9970.66</v>
      </c>
      <c r="N51" s="487">
        <f t="shared" si="1"/>
        <v>102832.58</v>
      </c>
      <c r="O51" s="488">
        <f>SUM('MTRT 2013'!B51:M51)</f>
        <v>87072.830000000016</v>
      </c>
      <c r="P51" s="463">
        <f t="shared" si="2"/>
        <v>0.18099503599458044</v>
      </c>
    </row>
    <row r="52" spans="1:16">
      <c r="A52" s="241" t="s">
        <v>202</v>
      </c>
      <c r="B52" s="489">
        <v>149567.49</v>
      </c>
      <c r="C52" s="489">
        <v>145028.67000000001</v>
      </c>
      <c r="D52" s="485">
        <v>227652.17</v>
      </c>
      <c r="E52" s="485">
        <v>209369.47</v>
      </c>
      <c r="F52" s="485">
        <v>238464.52</v>
      </c>
      <c r="G52" s="485">
        <v>233640.76</v>
      </c>
      <c r="H52" s="485">
        <v>209208.03</v>
      </c>
      <c r="I52" s="485">
        <v>247388.52</v>
      </c>
      <c r="J52" s="562">
        <v>218612.97</v>
      </c>
      <c r="K52" s="485">
        <v>283339.59999999998</v>
      </c>
      <c r="L52" s="485">
        <v>269828.77</v>
      </c>
      <c r="M52" s="486">
        <v>218618.4</v>
      </c>
      <c r="N52" s="487">
        <f t="shared" si="1"/>
        <v>2650719.37</v>
      </c>
      <c r="O52" s="488">
        <f>SUM('MTRT 2013'!B52:M52)</f>
        <v>2537258.7799999998</v>
      </c>
      <c r="P52" s="463">
        <f t="shared" si="2"/>
        <v>4.4717783969989933E-2</v>
      </c>
    </row>
    <row r="53" spans="1:16">
      <c r="A53" s="241" t="s">
        <v>203</v>
      </c>
      <c r="B53" s="489">
        <v>19178.82</v>
      </c>
      <c r="C53" s="489">
        <v>27179.85</v>
      </c>
      <c r="D53" s="485">
        <v>38309.730000000003</v>
      </c>
      <c r="E53" s="485">
        <v>34898.629999999997</v>
      </c>
      <c r="F53" s="485">
        <v>36113.410000000003</v>
      </c>
      <c r="G53" s="485">
        <v>32148.15</v>
      </c>
      <c r="H53" s="485">
        <v>30552.62</v>
      </c>
      <c r="I53" s="485">
        <v>40674.6</v>
      </c>
      <c r="J53" s="562">
        <v>31741.11</v>
      </c>
      <c r="K53" s="485">
        <v>42293.15</v>
      </c>
      <c r="L53" s="485">
        <v>33424.42</v>
      </c>
      <c r="M53" s="486">
        <v>23956.3</v>
      </c>
      <c r="N53" s="487">
        <f t="shared" si="1"/>
        <v>390470.79</v>
      </c>
      <c r="O53" s="488">
        <f>SUM('MTRT 2013'!B53:M53)</f>
        <v>399478.63999999996</v>
      </c>
      <c r="P53" s="463">
        <f>N53/O53-1</f>
        <v>-2.254901538665488E-2</v>
      </c>
    </row>
    <row r="54" spans="1:16">
      <c r="A54" s="241" t="s">
        <v>330</v>
      </c>
      <c r="B54" s="489">
        <v>0</v>
      </c>
      <c r="C54" s="489">
        <v>0</v>
      </c>
      <c r="D54" s="485">
        <v>0</v>
      </c>
      <c r="E54" s="485">
        <v>0</v>
      </c>
      <c r="F54" s="485">
        <v>0</v>
      </c>
      <c r="G54" s="485">
        <v>0</v>
      </c>
      <c r="H54" s="485">
        <v>5351.99</v>
      </c>
      <c r="I54" s="485">
        <v>6423.53</v>
      </c>
      <c r="J54" s="562">
        <v>7138.06</v>
      </c>
      <c r="K54" s="485">
        <v>4465.67</v>
      </c>
      <c r="L54" s="485">
        <v>6609.83</v>
      </c>
      <c r="M54" s="486">
        <v>1524.96</v>
      </c>
      <c r="N54" s="487">
        <f t="shared" si="1"/>
        <v>31514.04</v>
      </c>
      <c r="O54" s="488">
        <f>SUM('MTRT 2013'!B54:M54)</f>
        <v>30447.61</v>
      </c>
      <c r="P54" s="463">
        <f>N54/O54-1</f>
        <v>3.5025080786307949E-2</v>
      </c>
    </row>
    <row r="55" spans="1:16">
      <c r="A55" s="241" t="s">
        <v>204</v>
      </c>
      <c r="B55" s="489">
        <v>1817.22</v>
      </c>
      <c r="C55" s="489">
        <v>1828.65</v>
      </c>
      <c r="D55" s="485">
        <v>2050.48</v>
      </c>
      <c r="E55" s="485">
        <v>2429.23</v>
      </c>
      <c r="F55" s="485">
        <v>2815.89</v>
      </c>
      <c r="G55" s="485">
        <v>2834.18</v>
      </c>
      <c r="H55" s="485">
        <v>3051.77</v>
      </c>
      <c r="I55" s="485">
        <v>3324.02</v>
      </c>
      <c r="J55" s="562">
        <v>3327.79</v>
      </c>
      <c r="K55" s="485">
        <v>3892.53</v>
      </c>
      <c r="L55" s="485">
        <v>3559.92</v>
      </c>
      <c r="M55" s="486">
        <v>2762.95</v>
      </c>
      <c r="N55" s="487">
        <f t="shared" si="1"/>
        <v>33694.629999999997</v>
      </c>
      <c r="O55" s="488">
        <f>SUM('MTRT 2013'!B55:M55)</f>
        <v>29380.240000000002</v>
      </c>
      <c r="P55" s="463">
        <f>N55/O55-1</f>
        <v>0.14684665611989534</v>
      </c>
    </row>
    <row r="56" spans="1:16" s="154" customFormat="1">
      <c r="A56" s="241" t="s">
        <v>205</v>
      </c>
      <c r="B56" s="485">
        <v>1850.74</v>
      </c>
      <c r="C56" s="485">
        <v>1926.71</v>
      </c>
      <c r="D56" s="485">
        <v>2490.19</v>
      </c>
      <c r="E56" s="485">
        <v>2180.8200000000002</v>
      </c>
      <c r="F56" s="485">
        <v>2388.4499999999998</v>
      </c>
      <c r="G56" s="485">
        <v>2371.42</v>
      </c>
      <c r="H56" s="485">
        <v>2503.94</v>
      </c>
      <c r="I56" s="485">
        <v>2774.5</v>
      </c>
      <c r="J56" s="562">
        <v>2949.05</v>
      </c>
      <c r="K56" s="485">
        <v>3154.6</v>
      </c>
      <c r="L56" s="485">
        <v>2506.9899999999998</v>
      </c>
      <c r="M56" s="486">
        <v>2483.1799999999998</v>
      </c>
      <c r="N56" s="487">
        <f t="shared" si="1"/>
        <v>29580.589999999997</v>
      </c>
      <c r="O56" s="488">
        <f>SUM('MTRT 2013'!B56:M56)</f>
        <v>257438.5</v>
      </c>
      <c r="P56" s="463">
        <f t="shared" ref="P56:P57" si="4">N56/O56-1</f>
        <v>-0.88509647935332125</v>
      </c>
    </row>
    <row r="57" spans="1:16" s="154" customFormat="1">
      <c r="A57" s="241" t="s">
        <v>206</v>
      </c>
      <c r="B57" s="485">
        <v>13562.67</v>
      </c>
      <c r="C57" s="485">
        <v>12899.65</v>
      </c>
      <c r="D57" s="485">
        <v>59157.53</v>
      </c>
      <c r="E57" s="485">
        <v>16992.509999999998</v>
      </c>
      <c r="F57" s="485">
        <v>36816.519999999997</v>
      </c>
      <c r="G57" s="485">
        <v>18414.48</v>
      </c>
      <c r="H57" s="485">
        <v>30682.959999999999</v>
      </c>
      <c r="I57" s="485">
        <v>29483.22</v>
      </c>
      <c r="J57" s="562">
        <v>29882.880000000001</v>
      </c>
      <c r="K57" s="485">
        <v>31278.25</v>
      </c>
      <c r="L57" s="485">
        <v>27682.04</v>
      </c>
      <c r="M57" s="486">
        <v>22164.43</v>
      </c>
      <c r="N57" s="487">
        <f t="shared" si="1"/>
        <v>329017.14</v>
      </c>
      <c r="O57" s="488">
        <f>SUM('MTRT 2013'!B57:M57)</f>
        <v>0</v>
      </c>
      <c r="P57" s="463" t="e">
        <f t="shared" si="4"/>
        <v>#DIV/0!</v>
      </c>
    </row>
    <row r="58" spans="1:16" s="154" customFormat="1">
      <c r="A58" s="560" t="s">
        <v>207</v>
      </c>
      <c r="B58" s="460"/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461"/>
      <c r="N58" s="460"/>
      <c r="O58" s="460"/>
      <c r="P58" s="561"/>
    </row>
    <row r="59" spans="1:16">
      <c r="A59" s="241" t="s">
        <v>208</v>
      </c>
      <c r="B59" s="489">
        <v>655.73</v>
      </c>
      <c r="C59" s="489">
        <v>1746.11</v>
      </c>
      <c r="D59" s="485">
        <v>420.23</v>
      </c>
      <c r="E59" s="485">
        <v>325.42</v>
      </c>
      <c r="F59" s="485">
        <v>1704.78</v>
      </c>
      <c r="G59" s="485">
        <v>1544.88</v>
      </c>
      <c r="H59" s="485">
        <v>2249.5100000000002</v>
      </c>
      <c r="I59" s="485">
        <v>5166.33</v>
      </c>
      <c r="J59" s="562">
        <v>2036.79</v>
      </c>
      <c r="K59" s="485">
        <v>2437.75</v>
      </c>
      <c r="L59" s="485">
        <v>6579.09</v>
      </c>
      <c r="M59" s="486">
        <v>1614.77</v>
      </c>
      <c r="N59" s="487">
        <f t="shared" si="1"/>
        <v>26481.39</v>
      </c>
      <c r="O59" s="488">
        <f>SUM('MTRT 2013'!B58:M58)</f>
        <v>25997.49</v>
      </c>
      <c r="P59" s="463">
        <f>N59/O59-1</f>
        <v>1.8613335364298544E-2</v>
      </c>
    </row>
    <row r="60" spans="1:16">
      <c r="A60" s="241" t="s">
        <v>209</v>
      </c>
      <c r="B60" s="489">
        <v>894.11</v>
      </c>
      <c r="C60" s="489">
        <v>1044.08</v>
      </c>
      <c r="D60" s="485">
        <v>460.51</v>
      </c>
      <c r="E60" s="485">
        <v>559.98</v>
      </c>
      <c r="F60" s="485">
        <v>2091.7199999999998</v>
      </c>
      <c r="G60" s="485">
        <v>1038.08</v>
      </c>
      <c r="H60" s="485">
        <v>2676.79</v>
      </c>
      <c r="I60" s="485">
        <v>2919.28</v>
      </c>
      <c r="J60" s="562">
        <v>2627.31</v>
      </c>
      <c r="K60" s="485">
        <v>3510.32</v>
      </c>
      <c r="L60" s="485">
        <v>4500.9799999999996</v>
      </c>
      <c r="M60" s="486">
        <v>2654.84</v>
      </c>
      <c r="N60" s="487">
        <f t="shared" si="1"/>
        <v>24978</v>
      </c>
      <c r="O60" s="488">
        <f>SUM('MTRT 2013'!B59:M59)</f>
        <v>20482.77</v>
      </c>
      <c r="P60" s="463">
        <f>N60/O60-1</f>
        <v>0.21946396898466358</v>
      </c>
    </row>
    <row r="61" spans="1:16" s="154" customFormat="1">
      <c r="A61" s="560" t="s">
        <v>210</v>
      </c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1"/>
      <c r="N61" s="460"/>
      <c r="O61" s="460"/>
      <c r="P61" s="561"/>
    </row>
    <row r="62" spans="1:16" s="154" customFormat="1">
      <c r="A62" s="560" t="s">
        <v>211</v>
      </c>
      <c r="B62" s="460"/>
      <c r="C62" s="460"/>
      <c r="D62" s="460"/>
      <c r="E62" s="460"/>
      <c r="F62" s="460"/>
      <c r="G62" s="460"/>
      <c r="H62" s="460"/>
      <c r="I62" s="460"/>
      <c r="J62" s="460"/>
      <c r="K62" s="460"/>
      <c r="L62" s="460"/>
      <c r="M62" s="461"/>
      <c r="N62" s="460"/>
      <c r="O62" s="460"/>
      <c r="P62" s="561"/>
    </row>
    <row r="63" spans="1:16">
      <c r="A63" s="241" t="s">
        <v>212</v>
      </c>
      <c r="B63" s="489">
        <v>3724.74</v>
      </c>
      <c r="C63" s="489">
        <v>4495.1899999999996</v>
      </c>
      <c r="D63" s="485">
        <v>3948.86</v>
      </c>
      <c r="E63" s="485">
        <v>3842.99</v>
      </c>
      <c r="F63" s="485">
        <v>6157.86</v>
      </c>
      <c r="G63" s="485">
        <v>5561.6</v>
      </c>
      <c r="H63" s="485">
        <v>6474.42</v>
      </c>
      <c r="I63" s="485">
        <v>9884.9500000000007</v>
      </c>
      <c r="J63" s="562">
        <v>8735.8799999999992</v>
      </c>
      <c r="K63" s="485">
        <v>7626.9</v>
      </c>
      <c r="L63" s="485">
        <v>7278.69</v>
      </c>
      <c r="M63" s="486">
        <v>6147.95</v>
      </c>
      <c r="N63" s="487">
        <f t="shared" si="1"/>
        <v>73880.03</v>
      </c>
      <c r="O63" s="488">
        <f>SUM('MTRT 2013'!B62:M62)</f>
        <v>77054.84</v>
      </c>
      <c r="P63" s="463">
        <f>N63/O63-1</f>
        <v>-4.1201954348357606E-2</v>
      </c>
    </row>
    <row r="64" spans="1:16">
      <c r="A64" s="241" t="s">
        <v>213</v>
      </c>
      <c r="B64" s="489">
        <v>631.65</v>
      </c>
      <c r="C64" s="489">
        <v>623.20000000000005</v>
      </c>
      <c r="D64" s="485">
        <v>719.73</v>
      </c>
      <c r="E64" s="485">
        <v>457.53</v>
      </c>
      <c r="F64" s="485">
        <v>1144.52</v>
      </c>
      <c r="G64" s="485">
        <v>907.76</v>
      </c>
      <c r="H64" s="485">
        <v>1292.8800000000001</v>
      </c>
      <c r="I64" s="485">
        <v>2865.97</v>
      </c>
      <c r="J64" s="562">
        <v>1612.88</v>
      </c>
      <c r="K64" s="485">
        <v>1478.68</v>
      </c>
      <c r="L64" s="485">
        <v>3022.72</v>
      </c>
      <c r="M64" s="486">
        <v>954.41</v>
      </c>
      <c r="N64" s="487">
        <f>SUM(B64:M64)</f>
        <v>15711.929999999998</v>
      </c>
      <c r="O64" s="488">
        <f>SUM('MTRT 2013'!B63:M63)</f>
        <v>23835.13</v>
      </c>
      <c r="P64" s="463">
        <f>N64/O64-1</f>
        <v>-0.34080787476300745</v>
      </c>
    </row>
    <row r="65" spans="1:16" s="154" customFormat="1">
      <c r="A65" s="560" t="s">
        <v>214</v>
      </c>
      <c r="B65" s="460"/>
      <c r="C65" s="460"/>
      <c r="D65" s="460"/>
      <c r="E65" s="460"/>
      <c r="F65" s="460"/>
      <c r="G65" s="460"/>
      <c r="H65" s="460"/>
      <c r="I65" s="460"/>
      <c r="J65" s="460"/>
      <c r="K65" s="460"/>
      <c r="L65" s="460"/>
      <c r="M65" s="461"/>
      <c r="N65" s="460"/>
      <c r="O65" s="460"/>
      <c r="P65" s="561"/>
    </row>
    <row r="66" spans="1:16" s="154" customFormat="1">
      <c r="A66" s="560" t="s">
        <v>215</v>
      </c>
      <c r="B66" s="460"/>
      <c r="C66" s="460"/>
      <c r="D66" s="460"/>
      <c r="E66" s="460"/>
      <c r="F66" s="460"/>
      <c r="G66" s="460"/>
      <c r="H66" s="460"/>
      <c r="I66" s="460"/>
      <c r="J66" s="460"/>
      <c r="K66" s="460"/>
      <c r="L66" s="460"/>
      <c r="M66" s="461"/>
      <c r="N66" s="460"/>
      <c r="O66" s="460"/>
      <c r="P66" s="561"/>
    </row>
    <row r="67" spans="1:16">
      <c r="A67" s="241" t="s">
        <v>216</v>
      </c>
      <c r="B67" s="489">
        <v>2219.5</v>
      </c>
      <c r="C67" s="489">
        <v>1278.6600000000001</v>
      </c>
      <c r="D67" s="485">
        <v>1779.65</v>
      </c>
      <c r="E67" s="485">
        <v>1486.91</v>
      </c>
      <c r="F67" s="485">
        <v>2688.53</v>
      </c>
      <c r="G67" s="485">
        <v>2329.98</v>
      </c>
      <c r="H67" s="485">
        <v>2604.1999999999998</v>
      </c>
      <c r="I67" s="485">
        <v>4065.22</v>
      </c>
      <c r="J67" s="562">
        <v>3764.04</v>
      </c>
      <c r="K67" s="485">
        <v>4179.72</v>
      </c>
      <c r="L67" s="485">
        <v>3554.78</v>
      </c>
      <c r="M67" s="486">
        <v>2821.14</v>
      </c>
      <c r="N67" s="487">
        <f t="shared" si="1"/>
        <v>32772.33</v>
      </c>
      <c r="O67" s="488">
        <f>SUM('MTRT 2013'!B66:M66)</f>
        <v>36172.959999999999</v>
      </c>
      <c r="P67" s="463">
        <f>N67/O67-1</f>
        <v>-9.4010277289997779E-2</v>
      </c>
    </row>
    <row r="68" spans="1:16" s="154" customFormat="1">
      <c r="A68" s="560" t="s">
        <v>217</v>
      </c>
      <c r="B68" s="460"/>
      <c r="C68" s="460"/>
      <c r="D68" s="460"/>
      <c r="E68" s="460"/>
      <c r="F68" s="460"/>
      <c r="G68" s="460"/>
      <c r="H68" s="460"/>
      <c r="I68" s="460"/>
      <c r="J68" s="460"/>
      <c r="K68" s="460"/>
      <c r="L68" s="460"/>
      <c r="M68" s="461"/>
      <c r="N68" s="460"/>
      <c r="O68" s="460"/>
      <c r="P68" s="561"/>
    </row>
    <row r="69" spans="1:16">
      <c r="A69" s="241" t="s">
        <v>218</v>
      </c>
      <c r="B69" s="489">
        <v>1303.04</v>
      </c>
      <c r="C69" s="489">
        <v>1129.1500000000001</v>
      </c>
      <c r="D69" s="485">
        <v>988.99</v>
      </c>
      <c r="E69" s="485">
        <v>609.91999999999996</v>
      </c>
      <c r="F69" s="485">
        <v>430.31</v>
      </c>
      <c r="G69" s="485">
        <v>400.67</v>
      </c>
      <c r="H69" s="485">
        <v>608.58000000000004</v>
      </c>
      <c r="I69" s="485">
        <v>722.76</v>
      </c>
      <c r="J69" s="562">
        <v>741.98</v>
      </c>
      <c r="K69" s="485">
        <v>1023.17</v>
      </c>
      <c r="L69" s="485">
        <v>962.92</v>
      </c>
      <c r="M69" s="486">
        <v>748.45</v>
      </c>
      <c r="N69" s="487">
        <f t="shared" si="1"/>
        <v>9669.9400000000023</v>
      </c>
      <c r="O69" s="488">
        <f>SUM('MTRT 2013'!B68:M68)</f>
        <v>14980.979999999998</v>
      </c>
      <c r="P69" s="463">
        <f>N69/O69-1</f>
        <v>-0.35451886325193649</v>
      </c>
    </row>
    <row r="70" spans="1:16">
      <c r="A70" s="241" t="s">
        <v>219</v>
      </c>
      <c r="B70" s="489">
        <v>7837.86</v>
      </c>
      <c r="C70" s="489">
        <v>7483.02</v>
      </c>
      <c r="D70" s="485">
        <v>8006.7</v>
      </c>
      <c r="E70" s="485">
        <v>7376.94</v>
      </c>
      <c r="F70" s="485">
        <v>9906.8700000000008</v>
      </c>
      <c r="G70" s="485">
        <v>11669.03</v>
      </c>
      <c r="H70" s="485">
        <v>16034.97</v>
      </c>
      <c r="I70" s="485">
        <v>16559.32</v>
      </c>
      <c r="J70" s="562">
        <v>18060.919999999998</v>
      </c>
      <c r="K70" s="485">
        <v>14504.84</v>
      </c>
      <c r="L70" s="485">
        <v>17650.22</v>
      </c>
      <c r="M70" s="486">
        <v>9335.52</v>
      </c>
      <c r="N70" s="487">
        <f t="shared" si="1"/>
        <v>144426.21</v>
      </c>
      <c r="O70" s="488">
        <f>SUM('MTRT 2013'!B69:M69)</f>
        <v>163603.13999999998</v>
      </c>
      <c r="P70" s="463">
        <f>N70/O70-1</f>
        <v>-0.11721614878540831</v>
      </c>
    </row>
    <row r="71" spans="1:16">
      <c r="A71" s="241" t="s">
        <v>220</v>
      </c>
      <c r="B71" s="491">
        <v>2058.89</v>
      </c>
      <c r="C71" s="489">
        <v>4905.33</v>
      </c>
      <c r="D71" s="485">
        <v>1687.93</v>
      </c>
      <c r="E71" s="485">
        <v>1521.88</v>
      </c>
      <c r="F71" s="485">
        <v>5503.71</v>
      </c>
      <c r="G71" s="485">
        <v>2005.06</v>
      </c>
      <c r="H71" s="485">
        <v>2373.77</v>
      </c>
      <c r="I71" s="485">
        <v>5571.24</v>
      </c>
      <c r="J71" s="562">
        <v>4064.5</v>
      </c>
      <c r="K71" s="485">
        <v>3591.51</v>
      </c>
      <c r="L71" s="485">
        <v>3567.27</v>
      </c>
      <c r="M71" s="486">
        <v>3915.53</v>
      </c>
      <c r="N71" s="487">
        <f t="shared" si="1"/>
        <v>40766.619999999995</v>
      </c>
      <c r="O71" s="488">
        <f>SUM('MTRT 2013'!B70:M70)</f>
        <v>19127.91</v>
      </c>
      <c r="P71" s="463">
        <f>N71/O71-1</f>
        <v>1.1312636874598425</v>
      </c>
    </row>
    <row r="72" spans="1:16" s="154" customFormat="1">
      <c r="A72" s="560" t="s">
        <v>221</v>
      </c>
      <c r="B72" s="460"/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1"/>
      <c r="N72" s="460"/>
      <c r="O72" s="460"/>
      <c r="P72" s="561"/>
    </row>
    <row r="73" spans="1:16">
      <c r="A73" s="241" t="s">
        <v>222</v>
      </c>
      <c r="B73" s="489">
        <v>5306.44</v>
      </c>
      <c r="C73" s="489">
        <v>6204.18</v>
      </c>
      <c r="D73" s="485">
        <v>6954.65</v>
      </c>
      <c r="E73" s="485">
        <v>3615.57</v>
      </c>
      <c r="F73" s="485">
        <v>9937.57</v>
      </c>
      <c r="G73" s="485">
        <v>4746.59</v>
      </c>
      <c r="H73" s="485">
        <v>9712.2099999999991</v>
      </c>
      <c r="I73" s="485">
        <v>9042.6299999999992</v>
      </c>
      <c r="J73" s="562">
        <v>10120.61</v>
      </c>
      <c r="K73" s="485">
        <v>12322.04</v>
      </c>
      <c r="L73" s="485">
        <v>9494.5499999999993</v>
      </c>
      <c r="M73" s="486">
        <v>9856.24</v>
      </c>
      <c r="N73" s="487">
        <f t="shared" si="1"/>
        <v>97313.279999999999</v>
      </c>
      <c r="O73" s="488">
        <f>SUM('MTRT 2013'!B72:M72)</f>
        <v>80932.750000000015</v>
      </c>
      <c r="P73" s="463">
        <f>N73/O73-1</f>
        <v>0.20239680475456456</v>
      </c>
    </row>
    <row r="74" spans="1:16">
      <c r="A74" s="241" t="s">
        <v>223</v>
      </c>
      <c r="B74" s="489">
        <v>0</v>
      </c>
      <c r="C74" s="489">
        <v>0</v>
      </c>
      <c r="D74" s="485">
        <v>0</v>
      </c>
      <c r="E74" s="485">
        <v>0</v>
      </c>
      <c r="F74" s="485">
        <v>0</v>
      </c>
      <c r="G74" s="485">
        <v>0</v>
      </c>
      <c r="H74" s="485">
        <v>0</v>
      </c>
      <c r="I74" s="485">
        <v>0</v>
      </c>
      <c r="J74" s="562">
        <v>0</v>
      </c>
      <c r="K74" s="485">
        <v>0</v>
      </c>
      <c r="L74" s="485">
        <v>0</v>
      </c>
      <c r="M74" s="486">
        <v>0</v>
      </c>
      <c r="N74" s="487">
        <f t="shared" si="1"/>
        <v>0</v>
      </c>
      <c r="O74" s="488">
        <f>SUM('MTRT 2013'!B73:M73)</f>
        <v>80.25</v>
      </c>
      <c r="P74" s="463">
        <f t="shared" ref="P74:P78" si="5">N74/O74-1</f>
        <v>-1</v>
      </c>
    </row>
    <row r="75" spans="1:16">
      <c r="A75" s="241" t="s">
        <v>224</v>
      </c>
      <c r="B75" s="489">
        <v>8528.15</v>
      </c>
      <c r="C75" s="489">
        <v>6792.89</v>
      </c>
      <c r="D75" s="485">
        <v>8283.39</v>
      </c>
      <c r="E75" s="485">
        <v>8157.16</v>
      </c>
      <c r="F75" s="485">
        <v>9848.68</v>
      </c>
      <c r="G75" s="485">
        <v>10722.39</v>
      </c>
      <c r="H75" s="485">
        <v>10313.4</v>
      </c>
      <c r="I75" s="485">
        <v>10433.040000000001</v>
      </c>
      <c r="J75" s="562">
        <v>14652.72</v>
      </c>
      <c r="K75" s="485">
        <v>14658.07</v>
      </c>
      <c r="L75" s="485">
        <v>10561.78</v>
      </c>
      <c r="M75" s="486">
        <v>8509.61</v>
      </c>
      <c r="N75" s="487">
        <f t="shared" si="1"/>
        <v>121461.28000000001</v>
      </c>
      <c r="O75" s="488">
        <f>SUM('MTRT 2013'!B74:M74)</f>
        <v>115381.38999999998</v>
      </c>
      <c r="P75" s="463">
        <f t="shared" si="5"/>
        <v>5.2693852968836996E-2</v>
      </c>
    </row>
    <row r="76" spans="1:16">
      <c r="A76" s="241" t="s">
        <v>225</v>
      </c>
      <c r="B76" s="489">
        <v>553.91</v>
      </c>
      <c r="C76" s="489">
        <v>536.87</v>
      </c>
      <c r="D76" s="485">
        <v>518.51</v>
      </c>
      <c r="E76" s="485">
        <v>471.96</v>
      </c>
      <c r="F76" s="485">
        <v>514.54999999999995</v>
      </c>
      <c r="G76" s="485">
        <v>775.46</v>
      </c>
      <c r="H76" s="485">
        <v>363.54</v>
      </c>
      <c r="I76" s="485">
        <v>943.25</v>
      </c>
      <c r="J76" s="562">
        <v>831.32</v>
      </c>
      <c r="K76" s="485">
        <v>1038.18</v>
      </c>
      <c r="L76" s="485">
        <v>745.09</v>
      </c>
      <c r="M76" s="486">
        <v>788.1</v>
      </c>
      <c r="N76" s="487">
        <f t="shared" si="1"/>
        <v>8080.7400000000007</v>
      </c>
      <c r="O76" s="488">
        <f>SUM('MTRT 2013'!B75:M75)</f>
        <v>8133.6</v>
      </c>
      <c r="P76" s="463">
        <f t="shared" si="5"/>
        <v>-6.4989672469755178E-3</v>
      </c>
    </row>
    <row r="77" spans="1:16">
      <c r="A77" s="241" t="s">
        <v>226</v>
      </c>
      <c r="B77" s="489">
        <v>22010.51</v>
      </c>
      <c r="C77" s="489">
        <v>21485.64</v>
      </c>
      <c r="D77" s="485">
        <v>22474.75</v>
      </c>
      <c r="E77" s="485">
        <v>23562.06</v>
      </c>
      <c r="F77" s="485">
        <v>30560.55</v>
      </c>
      <c r="G77" s="485">
        <v>31742.35</v>
      </c>
      <c r="H77" s="485">
        <v>29261.32</v>
      </c>
      <c r="I77" s="485">
        <v>38581.65</v>
      </c>
      <c r="J77" s="562">
        <v>36230.949999999997</v>
      </c>
      <c r="K77" s="485">
        <v>38885.68</v>
      </c>
      <c r="L77" s="485">
        <v>35335.980000000003</v>
      </c>
      <c r="M77" s="486">
        <v>31432.38</v>
      </c>
      <c r="N77" s="487">
        <f t="shared" si="1"/>
        <v>361563.81999999995</v>
      </c>
      <c r="O77" s="488">
        <f>SUM('MTRT 2013'!B76:M76)</f>
        <v>348409.55</v>
      </c>
      <c r="P77" s="463">
        <f t="shared" si="5"/>
        <v>3.775519356458501E-2</v>
      </c>
    </row>
    <row r="78" spans="1:16">
      <c r="A78" s="241" t="s">
        <v>227</v>
      </c>
      <c r="B78" s="489">
        <v>1525.71</v>
      </c>
      <c r="C78" s="489">
        <v>1451.14</v>
      </c>
      <c r="D78" s="485">
        <v>2212.48</v>
      </c>
      <c r="E78" s="485">
        <v>1819.62</v>
      </c>
      <c r="F78" s="485">
        <v>3074.4</v>
      </c>
      <c r="G78" s="485">
        <v>2677.4</v>
      </c>
      <c r="H78" s="485">
        <v>1907.11</v>
      </c>
      <c r="I78" s="485">
        <v>5118.7700000000004</v>
      </c>
      <c r="J78" s="562">
        <v>1377.45</v>
      </c>
      <c r="K78" s="485">
        <v>7959.7</v>
      </c>
      <c r="L78" s="485">
        <v>5939.57</v>
      </c>
      <c r="M78" s="486">
        <v>3540.17</v>
      </c>
      <c r="N78" s="487">
        <f t="shared" si="1"/>
        <v>38603.520000000004</v>
      </c>
      <c r="O78" s="488">
        <f>SUM('MTRT 2013'!B77:M77)</f>
        <v>30394.02</v>
      </c>
      <c r="P78" s="463">
        <f t="shared" si="5"/>
        <v>0.27010247410510368</v>
      </c>
    </row>
    <row r="79" spans="1:16" s="154" customFormat="1">
      <c r="A79" s="560" t="s">
        <v>228</v>
      </c>
      <c r="B79" s="460"/>
      <c r="C79" s="460"/>
      <c r="D79" s="460"/>
      <c r="E79" s="460"/>
      <c r="F79" s="460"/>
      <c r="G79" s="460"/>
      <c r="H79" s="460"/>
      <c r="I79" s="460"/>
      <c r="J79" s="460"/>
      <c r="K79" s="460"/>
      <c r="L79" s="460"/>
      <c r="M79" s="461"/>
      <c r="N79" s="460"/>
      <c r="O79" s="460"/>
      <c r="P79" s="561"/>
    </row>
    <row r="80" spans="1:16">
      <c r="A80" s="241" t="s">
        <v>229</v>
      </c>
      <c r="B80" s="489">
        <v>2295.5</v>
      </c>
      <c r="C80" s="489">
        <v>2402.0700000000002</v>
      </c>
      <c r="D80" s="485">
        <v>4785.66</v>
      </c>
      <c r="E80" s="485">
        <v>1721.22</v>
      </c>
      <c r="F80" s="485">
        <v>3029.7</v>
      </c>
      <c r="G80" s="485">
        <v>4609.6400000000003</v>
      </c>
      <c r="H80" s="485">
        <v>0</v>
      </c>
      <c r="I80" s="485">
        <v>4393.2299999999996</v>
      </c>
      <c r="J80" s="562">
        <v>2174.65</v>
      </c>
      <c r="K80" s="485">
        <v>2480.0100000000002</v>
      </c>
      <c r="L80" s="485">
        <v>4493.6400000000003</v>
      </c>
      <c r="M80" s="486">
        <v>2806.03</v>
      </c>
      <c r="N80" s="487">
        <f t="shared" si="1"/>
        <v>35191.35</v>
      </c>
      <c r="O80" s="488">
        <f>SUM('MTRT 2013'!B79:M79)</f>
        <v>27430.43</v>
      </c>
      <c r="P80" s="463">
        <f>N80/O80-1</f>
        <v>0.28293103680839127</v>
      </c>
    </row>
    <row r="81" spans="1:16">
      <c r="A81" s="241" t="s">
        <v>230</v>
      </c>
      <c r="B81" s="485">
        <v>2508.7399999999998</v>
      </c>
      <c r="C81" s="485">
        <v>5807.55</v>
      </c>
      <c r="D81" s="485">
        <v>7804.01</v>
      </c>
      <c r="E81" s="485">
        <v>5621.9</v>
      </c>
      <c r="F81" s="485">
        <v>4752.32</v>
      </c>
      <c r="G81" s="485">
        <v>2607.9499999999998</v>
      </c>
      <c r="H81" s="485">
        <v>4324.41</v>
      </c>
      <c r="I81" s="485">
        <v>6892.9</v>
      </c>
      <c r="J81" s="562">
        <v>7877.55</v>
      </c>
      <c r="K81" s="485">
        <v>9054.7900000000009</v>
      </c>
      <c r="L81" s="485">
        <v>6642.82</v>
      </c>
      <c r="M81" s="486">
        <v>5719.15</v>
      </c>
      <c r="N81" s="487">
        <f t="shared" si="1"/>
        <v>69614.090000000011</v>
      </c>
      <c r="O81" s="488">
        <f>SUM('MTRT 2013'!B80:M80)</f>
        <v>62667.31</v>
      </c>
      <c r="P81" s="463">
        <f>N81/O81-1</f>
        <v>0.11085173434123807</v>
      </c>
    </row>
    <row r="82" spans="1:16" s="154" customFormat="1">
      <c r="A82" s="560" t="s">
        <v>231</v>
      </c>
      <c r="B82" s="460"/>
      <c r="C82" s="460"/>
      <c r="D82" s="460"/>
      <c r="E82" s="460"/>
      <c r="F82" s="460"/>
      <c r="G82" s="460"/>
      <c r="H82" s="460"/>
      <c r="I82" s="460"/>
      <c r="J82" s="460"/>
      <c r="K82" s="460"/>
      <c r="L82" s="460"/>
      <c r="M82" s="461"/>
      <c r="N82" s="460"/>
      <c r="O82" s="460"/>
      <c r="P82" s="561"/>
    </row>
    <row r="83" spans="1:16">
      <c r="A83" s="241" t="s">
        <v>232</v>
      </c>
      <c r="B83" s="485">
        <v>1815.26</v>
      </c>
      <c r="C83" s="485">
        <v>2819.73</v>
      </c>
      <c r="D83" s="485">
        <v>2015.31</v>
      </c>
      <c r="E83" s="485">
        <v>1336.54</v>
      </c>
      <c r="F83" s="485">
        <v>9225.42</v>
      </c>
      <c r="G83" s="485">
        <v>3624.46</v>
      </c>
      <c r="H83" s="485">
        <v>4463.2700000000004</v>
      </c>
      <c r="I83" s="485">
        <v>11046.42</v>
      </c>
      <c r="J83" s="562">
        <v>5004.93</v>
      </c>
      <c r="K83" s="485">
        <v>6225.14</v>
      </c>
      <c r="L83" s="485">
        <v>11720.95</v>
      </c>
      <c r="M83" s="486">
        <v>3313.05</v>
      </c>
      <c r="N83" s="487">
        <f t="shared" si="1"/>
        <v>62610.479999999996</v>
      </c>
      <c r="O83" s="488">
        <f>SUM('MTRT 2013'!B82:M82)</f>
        <v>58873.090000000004</v>
      </c>
      <c r="P83" s="463">
        <f>N83/O83-1</f>
        <v>6.3482144388887995E-2</v>
      </c>
    </row>
    <row r="84" spans="1:16">
      <c r="A84" s="241" t="s">
        <v>233</v>
      </c>
      <c r="B84" s="489">
        <v>7192.14</v>
      </c>
      <c r="C84" s="489">
        <v>3561.53</v>
      </c>
      <c r="D84" s="485">
        <v>4293.82</v>
      </c>
      <c r="E84" s="485">
        <v>6127.45</v>
      </c>
      <c r="F84" s="485">
        <v>10322.75</v>
      </c>
      <c r="G84" s="485">
        <v>11635.05</v>
      </c>
      <c r="H84" s="485">
        <v>11969.73</v>
      </c>
      <c r="I84" s="485">
        <v>6530.75</v>
      </c>
      <c r="J84" s="562">
        <v>6029.55</v>
      </c>
      <c r="K84" s="485">
        <v>6678.32</v>
      </c>
      <c r="L84" s="485">
        <v>9957.36</v>
      </c>
      <c r="M84" s="486">
        <v>13087.17</v>
      </c>
      <c r="N84" s="487">
        <f t="shared" si="1"/>
        <v>97385.62</v>
      </c>
      <c r="O84" s="488">
        <f>SUM('MTRT 2013'!B83:M83)</f>
        <v>82952.649999999994</v>
      </c>
      <c r="P84" s="463">
        <f t="shared" ref="P84:P91" si="6">N84/O84-1</f>
        <v>0.17399046323414624</v>
      </c>
    </row>
    <row r="85" spans="1:16">
      <c r="A85" s="241" t="s">
        <v>234</v>
      </c>
      <c r="B85" s="489">
        <v>69.69</v>
      </c>
      <c r="C85" s="489">
        <v>0</v>
      </c>
      <c r="D85" s="485">
        <v>0</v>
      </c>
      <c r="E85" s="485">
        <v>6.78</v>
      </c>
      <c r="F85" s="485">
        <v>0</v>
      </c>
      <c r="G85" s="485">
        <v>0</v>
      </c>
      <c r="H85" s="485">
        <v>0</v>
      </c>
      <c r="I85" s="485">
        <v>115.6</v>
      </c>
      <c r="J85" s="562">
        <v>0</v>
      </c>
      <c r="K85" s="485">
        <v>0</v>
      </c>
      <c r="L85" s="485">
        <v>64.83</v>
      </c>
      <c r="M85" s="486">
        <v>0</v>
      </c>
      <c r="N85" s="487">
        <f t="shared" si="1"/>
        <v>256.89999999999998</v>
      </c>
      <c r="O85" s="488">
        <f>SUM('MTRT 2013'!B84:M84)</f>
        <v>309.56</v>
      </c>
      <c r="P85" s="463">
        <f t="shared" si="6"/>
        <v>-0.17011241762501628</v>
      </c>
    </row>
    <row r="86" spans="1:16">
      <c r="A86" s="241" t="s">
        <v>235</v>
      </c>
      <c r="B86" s="489">
        <v>97.49</v>
      </c>
      <c r="C86" s="489">
        <v>114.92</v>
      </c>
      <c r="D86" s="485">
        <v>0</v>
      </c>
      <c r="E86" s="485">
        <v>22.94</v>
      </c>
      <c r="F86" s="485">
        <v>87.31</v>
      </c>
      <c r="G86" s="485">
        <v>0</v>
      </c>
      <c r="H86" s="485">
        <v>0</v>
      </c>
      <c r="I86" s="485">
        <v>503.14</v>
      </c>
      <c r="J86" s="562">
        <v>0</v>
      </c>
      <c r="K86" s="485">
        <v>0</v>
      </c>
      <c r="L86" s="485">
        <v>367.28</v>
      </c>
      <c r="M86" s="486">
        <v>98.65</v>
      </c>
      <c r="N86" s="487">
        <f t="shared" si="1"/>
        <v>1291.73</v>
      </c>
      <c r="O86" s="488">
        <f>SUM('MTRT 2013'!B85:M85)</f>
        <v>1555.84</v>
      </c>
      <c r="P86" s="463">
        <f t="shared" si="6"/>
        <v>-0.169753959276018</v>
      </c>
    </row>
    <row r="87" spans="1:16">
      <c r="A87" s="241" t="s">
        <v>236</v>
      </c>
      <c r="B87" s="485">
        <v>29537.53</v>
      </c>
      <c r="C87" s="485">
        <v>30981.14</v>
      </c>
      <c r="D87" s="485">
        <v>34352.050000000003</v>
      </c>
      <c r="E87" s="485">
        <v>42143.46</v>
      </c>
      <c r="F87" s="485">
        <v>64033.8</v>
      </c>
      <c r="G87" s="485">
        <v>56955.66</v>
      </c>
      <c r="H87" s="485">
        <v>44046.13</v>
      </c>
      <c r="I87" s="485">
        <v>56582.04</v>
      </c>
      <c r="J87" s="562">
        <v>55535.48</v>
      </c>
      <c r="K87" s="485">
        <v>44484.639999999999</v>
      </c>
      <c r="L87" s="485">
        <v>59126.36</v>
      </c>
      <c r="M87" s="486">
        <v>57107.6</v>
      </c>
      <c r="N87" s="487">
        <f t="shared" si="1"/>
        <v>574885.8899999999</v>
      </c>
      <c r="O87" s="488">
        <f>SUM('MTRT 2013'!B86:M86)</f>
        <v>489134.83999999997</v>
      </c>
      <c r="P87" s="463">
        <f t="shared" si="6"/>
        <v>0.17531167888183941</v>
      </c>
    </row>
    <row r="88" spans="1:16">
      <c r="A88" s="241" t="s">
        <v>237</v>
      </c>
      <c r="B88" s="485">
        <v>43.15</v>
      </c>
      <c r="C88" s="485">
        <v>63.49</v>
      </c>
      <c r="D88" s="485">
        <v>0</v>
      </c>
      <c r="E88" s="485">
        <v>43.09</v>
      </c>
      <c r="F88" s="485">
        <v>187.65</v>
      </c>
      <c r="G88" s="485">
        <v>0</v>
      </c>
      <c r="H88" s="485">
        <v>44.98</v>
      </c>
      <c r="I88" s="485">
        <v>140.6</v>
      </c>
      <c r="J88" s="562">
        <v>0</v>
      </c>
      <c r="K88" s="485">
        <v>0</v>
      </c>
      <c r="L88" s="485">
        <v>199.38</v>
      </c>
      <c r="M88" s="486">
        <v>0</v>
      </c>
      <c r="N88" s="487">
        <f t="shared" si="1"/>
        <v>722.34</v>
      </c>
      <c r="O88" s="488">
        <f>SUM('MTRT 2013'!B87:M87)</f>
        <v>657.70999999999992</v>
      </c>
      <c r="P88" s="463">
        <f t="shared" si="6"/>
        <v>9.8265192866157092E-2</v>
      </c>
    </row>
    <row r="89" spans="1:16">
      <c r="A89" s="241" t="s">
        <v>238</v>
      </c>
      <c r="B89" s="485">
        <v>11500.31</v>
      </c>
      <c r="C89" s="485">
        <v>12393.15</v>
      </c>
      <c r="D89" s="485">
        <v>3806.45</v>
      </c>
      <c r="E89" s="485">
        <v>5523.78</v>
      </c>
      <c r="F89" s="485">
        <v>19447.689999999999</v>
      </c>
      <c r="G89" s="485">
        <v>33945.24</v>
      </c>
      <c r="H89" s="485">
        <v>43627.54</v>
      </c>
      <c r="I89" s="485">
        <v>37109.82</v>
      </c>
      <c r="J89" s="562">
        <v>38635.230000000003</v>
      </c>
      <c r="K89" s="485">
        <v>50735.86</v>
      </c>
      <c r="L89" s="485">
        <v>44790.8</v>
      </c>
      <c r="M89" s="486">
        <v>27375.64</v>
      </c>
      <c r="N89" s="487">
        <f t="shared" si="1"/>
        <v>328891.51</v>
      </c>
      <c r="O89" s="488">
        <f>SUM('MTRT 2013'!B88:M88)</f>
        <v>269103.7</v>
      </c>
      <c r="P89" s="463">
        <f t="shared" si="6"/>
        <v>0.2221738682894363</v>
      </c>
    </row>
    <row r="90" spans="1:16">
      <c r="A90" s="241" t="s">
        <v>239</v>
      </c>
      <c r="B90" s="485">
        <v>0</v>
      </c>
      <c r="C90" s="485">
        <v>0</v>
      </c>
      <c r="D90" s="485">
        <v>0</v>
      </c>
      <c r="E90" s="485">
        <v>0</v>
      </c>
      <c r="F90" s="485">
        <v>0</v>
      </c>
      <c r="G90" s="485">
        <v>0</v>
      </c>
      <c r="H90" s="485">
        <v>0</v>
      </c>
      <c r="I90" s="485">
        <v>0</v>
      </c>
      <c r="J90" s="562">
        <v>0</v>
      </c>
      <c r="K90" s="485">
        <v>0</v>
      </c>
      <c r="L90" s="485">
        <v>0</v>
      </c>
      <c r="M90" s="486">
        <v>0</v>
      </c>
      <c r="N90" s="487">
        <f t="shared" si="1"/>
        <v>0</v>
      </c>
      <c r="O90" s="488">
        <f>SUM('MTRT 2013'!B89:M89)</f>
        <v>0</v>
      </c>
      <c r="P90" s="463" t="e">
        <f t="shared" si="6"/>
        <v>#DIV/0!</v>
      </c>
    </row>
    <row r="91" spans="1:16">
      <c r="A91" s="241" t="s">
        <v>240</v>
      </c>
      <c r="B91" s="485">
        <v>320.31</v>
      </c>
      <c r="C91" s="485">
        <v>178.54</v>
      </c>
      <c r="D91" s="485">
        <v>121.59</v>
      </c>
      <c r="E91" s="485">
        <v>196.42</v>
      </c>
      <c r="F91" s="485">
        <v>833.53</v>
      </c>
      <c r="G91" s="485">
        <v>1198.44</v>
      </c>
      <c r="H91" s="485">
        <v>1390.76</v>
      </c>
      <c r="I91" s="485">
        <v>1765.17</v>
      </c>
      <c r="J91" s="562">
        <v>1300.67</v>
      </c>
      <c r="K91" s="485">
        <v>956.67</v>
      </c>
      <c r="L91" s="485">
        <v>1387.04</v>
      </c>
      <c r="M91" s="486">
        <v>1391.76</v>
      </c>
      <c r="N91" s="487">
        <f t="shared" si="1"/>
        <v>11040.9</v>
      </c>
      <c r="O91" s="488">
        <f>SUM('MTRT 2013'!B90:M90)</f>
        <v>9006.52</v>
      </c>
      <c r="P91" s="463">
        <f t="shared" si="6"/>
        <v>0.22587858573566688</v>
      </c>
    </row>
    <row r="92" spans="1:16" s="154" customFormat="1">
      <c r="A92" s="560" t="s">
        <v>241</v>
      </c>
      <c r="B92" s="460"/>
      <c r="C92" s="460"/>
      <c r="D92" s="460"/>
      <c r="E92" s="460"/>
      <c r="F92" s="460"/>
      <c r="G92" s="460"/>
      <c r="H92" s="460"/>
      <c r="I92" s="460"/>
      <c r="J92" s="460"/>
      <c r="K92" s="460"/>
      <c r="L92" s="460"/>
      <c r="M92" s="461"/>
      <c r="N92" s="460"/>
      <c r="O92" s="460"/>
      <c r="P92" s="561"/>
    </row>
    <row r="93" spans="1:16">
      <c r="A93" s="241" t="s">
        <v>242</v>
      </c>
      <c r="B93" s="485">
        <v>242.59</v>
      </c>
      <c r="C93" s="485">
        <v>239.41</v>
      </c>
      <c r="D93" s="485">
        <v>153.27000000000001</v>
      </c>
      <c r="E93" s="485">
        <v>75.47</v>
      </c>
      <c r="F93" s="485">
        <v>444.44</v>
      </c>
      <c r="G93" s="485">
        <v>538.85</v>
      </c>
      <c r="H93" s="485">
        <v>509.52</v>
      </c>
      <c r="I93" s="485">
        <v>735.37</v>
      </c>
      <c r="J93" s="562">
        <v>380.03</v>
      </c>
      <c r="K93" s="485">
        <v>425.31</v>
      </c>
      <c r="L93" s="485">
        <v>975.64</v>
      </c>
      <c r="M93" s="486">
        <v>435.58</v>
      </c>
      <c r="N93" s="487">
        <f t="shared" si="1"/>
        <v>5155.4799999999996</v>
      </c>
      <c r="O93" s="488">
        <f>SUM('MTRT 2013'!B92:M92)</f>
        <v>4890.08</v>
      </c>
      <c r="P93" s="463">
        <f>N93/O93-1</f>
        <v>5.4273140725713986E-2</v>
      </c>
    </row>
    <row r="94" spans="1:16" s="154" customFormat="1">
      <c r="A94" s="560" t="s">
        <v>243</v>
      </c>
      <c r="B94" s="460"/>
      <c r="C94" s="460"/>
      <c r="D94" s="460"/>
      <c r="E94" s="460"/>
      <c r="F94" s="460"/>
      <c r="G94" s="460"/>
      <c r="H94" s="460"/>
      <c r="I94" s="460"/>
      <c r="J94" s="460"/>
      <c r="K94" s="460"/>
      <c r="L94" s="460"/>
      <c r="M94" s="461"/>
      <c r="N94" s="460"/>
      <c r="O94" s="460"/>
      <c r="P94" s="561"/>
    </row>
    <row r="95" spans="1:16" s="154" customFormat="1">
      <c r="A95" s="241" t="s">
        <v>331</v>
      </c>
      <c r="B95" s="485">
        <v>0</v>
      </c>
      <c r="C95" s="485">
        <v>0</v>
      </c>
      <c r="D95" s="485">
        <v>0</v>
      </c>
      <c r="E95" s="485">
        <v>0</v>
      </c>
      <c r="F95" s="485">
        <v>0</v>
      </c>
      <c r="G95" s="485">
        <v>0</v>
      </c>
      <c r="H95" s="485">
        <v>0</v>
      </c>
      <c r="I95" s="485">
        <v>0</v>
      </c>
      <c r="J95" s="485">
        <v>1030.93</v>
      </c>
      <c r="K95" s="485">
        <v>1182.01</v>
      </c>
      <c r="L95" s="485">
        <v>963.24</v>
      </c>
      <c r="M95" s="374">
        <v>610.57000000000005</v>
      </c>
      <c r="N95" s="487">
        <f t="shared" si="1"/>
        <v>3786.7500000000005</v>
      </c>
      <c r="O95" s="488">
        <f>SUM('MTRT 2013'!B93:M93)</f>
        <v>0</v>
      </c>
      <c r="P95" s="463" t="e">
        <f>N95/O95-1</f>
        <v>#DIV/0!</v>
      </c>
    </row>
    <row r="96" spans="1:16">
      <c r="A96" s="241" t="s">
        <v>244</v>
      </c>
      <c r="B96" s="489">
        <v>1609.48</v>
      </c>
      <c r="C96" s="489">
        <v>1348.28</v>
      </c>
      <c r="D96" s="485">
        <v>1326.62</v>
      </c>
      <c r="E96" s="485">
        <v>1493.99</v>
      </c>
      <c r="F96" s="485">
        <v>1964.69</v>
      </c>
      <c r="G96" s="485">
        <v>2000.73</v>
      </c>
      <c r="H96" s="485">
        <v>2449.0100000000002</v>
      </c>
      <c r="I96" s="485">
        <v>3128.34</v>
      </c>
      <c r="J96" s="562">
        <v>3173.61</v>
      </c>
      <c r="K96" s="485">
        <v>3511.86</v>
      </c>
      <c r="L96" s="485">
        <v>2829.23</v>
      </c>
      <c r="M96" s="486">
        <v>2005.06</v>
      </c>
      <c r="N96" s="487">
        <f t="shared" si="1"/>
        <v>26840.9</v>
      </c>
      <c r="O96" s="488">
        <f>SUM('MTRT 2013'!B94:M94)</f>
        <v>24355.43</v>
      </c>
      <c r="P96" s="463">
        <f t="shared" ref="P96:P100" si="7">N96/O96-1</f>
        <v>0.10204993301288456</v>
      </c>
    </row>
    <row r="97" spans="1:16">
      <c r="A97" s="241" t="s">
        <v>245</v>
      </c>
      <c r="B97" s="489">
        <v>6410.16</v>
      </c>
      <c r="C97" s="489">
        <v>5390.91</v>
      </c>
      <c r="D97" s="485">
        <v>11559.17</v>
      </c>
      <c r="E97" s="485">
        <v>5340.74</v>
      </c>
      <c r="F97" s="485">
        <v>9325.26</v>
      </c>
      <c r="G97" s="485">
        <v>14612.54</v>
      </c>
      <c r="H97" s="485">
        <v>7406.55</v>
      </c>
      <c r="I97" s="485">
        <v>11789.05</v>
      </c>
      <c r="J97" s="562">
        <v>13662.08</v>
      </c>
      <c r="K97" s="485">
        <v>7525.95</v>
      </c>
      <c r="L97" s="485">
        <v>14766.56</v>
      </c>
      <c r="M97" s="486">
        <v>10547.7</v>
      </c>
      <c r="N97" s="487">
        <f t="shared" si="1"/>
        <v>118336.67</v>
      </c>
      <c r="O97" s="488">
        <f>SUM('MTRT 2013'!B95:M95)</f>
        <v>113788.03000000001</v>
      </c>
      <c r="P97" s="463">
        <f>N97/O97-1</f>
        <v>3.9974679234713761E-2</v>
      </c>
    </row>
    <row r="98" spans="1:16">
      <c r="A98" s="241" t="s">
        <v>246</v>
      </c>
      <c r="B98" s="489">
        <v>604.82000000000005</v>
      </c>
      <c r="C98" s="489">
        <v>598.08000000000004</v>
      </c>
      <c r="D98" s="485">
        <v>555.14</v>
      </c>
      <c r="E98" s="485">
        <v>555.14</v>
      </c>
      <c r="F98" s="485">
        <v>690.81</v>
      </c>
      <c r="G98" s="485">
        <v>669.55</v>
      </c>
      <c r="H98" s="485">
        <v>838.15</v>
      </c>
      <c r="I98" s="485">
        <v>916.29</v>
      </c>
      <c r="J98" s="562">
        <v>1016.77</v>
      </c>
      <c r="K98" s="485">
        <v>1051.1300000000001</v>
      </c>
      <c r="L98" s="485">
        <v>815.8</v>
      </c>
      <c r="M98" s="486">
        <v>687.71</v>
      </c>
      <c r="N98" s="487">
        <f t="shared" si="1"/>
        <v>8999.39</v>
      </c>
      <c r="O98" s="488">
        <f>SUM('MTRT 2013'!B96:M96)</f>
        <v>9182.1000000000022</v>
      </c>
      <c r="P98" s="463">
        <f t="shared" si="7"/>
        <v>-1.9898498164908074E-2</v>
      </c>
    </row>
    <row r="99" spans="1:16">
      <c r="A99" s="241" t="s">
        <v>247</v>
      </c>
      <c r="B99" s="489">
        <v>417.42</v>
      </c>
      <c r="C99" s="489">
        <v>448.74</v>
      </c>
      <c r="D99" s="485">
        <v>432.76</v>
      </c>
      <c r="E99" s="485">
        <v>515.29</v>
      </c>
      <c r="F99" s="485">
        <v>0</v>
      </c>
      <c r="G99" s="485">
        <v>1482.61</v>
      </c>
      <c r="H99" s="485">
        <v>913.06</v>
      </c>
      <c r="I99" s="485">
        <v>960.44</v>
      </c>
      <c r="J99" s="562">
        <v>979.75</v>
      </c>
      <c r="K99" s="485">
        <v>1052.3699999999999</v>
      </c>
      <c r="L99" s="485">
        <v>843.02</v>
      </c>
      <c r="M99" s="486">
        <v>787.18</v>
      </c>
      <c r="N99" s="487">
        <f t="shared" si="1"/>
        <v>8832.64</v>
      </c>
      <c r="O99" s="488">
        <f>SUM('MTRT 2013'!B97:M97)</f>
        <v>7460.83</v>
      </c>
      <c r="P99" s="463">
        <f t="shared" si="7"/>
        <v>0.18386828275138289</v>
      </c>
    </row>
    <row r="100" spans="1:16" ht="13" thickBot="1">
      <c r="A100" s="241" t="s">
        <v>248</v>
      </c>
      <c r="B100" s="489">
        <v>3230.99</v>
      </c>
      <c r="C100" s="489">
        <v>1839.72</v>
      </c>
      <c r="D100" s="485">
        <v>2722.91</v>
      </c>
      <c r="E100" s="485">
        <v>2999</v>
      </c>
      <c r="F100" s="485">
        <v>4302.59</v>
      </c>
      <c r="G100" s="485">
        <v>3942.09</v>
      </c>
      <c r="H100" s="485">
        <v>4089.67</v>
      </c>
      <c r="I100" s="485">
        <v>6368.91</v>
      </c>
      <c r="J100" s="562">
        <v>6335.16</v>
      </c>
      <c r="K100" s="485">
        <v>6234.15</v>
      </c>
      <c r="L100" s="485">
        <v>6010.21</v>
      </c>
      <c r="M100" s="486">
        <v>3843.15</v>
      </c>
      <c r="N100" s="492">
        <f t="shared" si="1"/>
        <v>51918.55</v>
      </c>
      <c r="O100" s="488">
        <f>SUM('MTRT 2013'!B98:M98)</f>
        <v>52839.29</v>
      </c>
      <c r="P100" s="463">
        <f t="shared" si="7"/>
        <v>-1.7425290915150438E-2</v>
      </c>
    </row>
    <row r="101" spans="1:16" ht="13" thickBot="1">
      <c r="A101" s="455" t="s">
        <v>54</v>
      </c>
      <c r="B101" s="493">
        <f>SUM(B4:B100)</f>
        <v>401859.36</v>
      </c>
      <c r="C101" s="493">
        <f t="shared" ref="C101:I101" si="8">SUM(C4:C100)</f>
        <v>429570.22000000009</v>
      </c>
      <c r="D101" s="493">
        <f t="shared" si="8"/>
        <v>560787.25</v>
      </c>
      <c r="E101" s="493">
        <f t="shared" si="8"/>
        <v>490966.5</v>
      </c>
      <c r="F101" s="493">
        <f t="shared" si="8"/>
        <v>729462.74000000022</v>
      </c>
      <c r="G101" s="493">
        <f t="shared" si="8"/>
        <v>702556.32999999984</v>
      </c>
      <c r="H101" s="493">
        <f t="shared" si="8"/>
        <v>712105.29000000027</v>
      </c>
      <c r="I101" s="493">
        <f t="shared" si="8"/>
        <v>913696.91</v>
      </c>
      <c r="J101" s="493">
        <f>SUM(J4:J100)</f>
        <v>764776.03</v>
      </c>
      <c r="K101" s="493">
        <f t="shared" ref="K101" si="9">SUM(K4:K100)</f>
        <v>881005.16000000015</v>
      </c>
      <c r="L101" s="493">
        <f t="shared" ref="L101" si="10">SUM(L4:L100)</f>
        <v>941817.38</v>
      </c>
      <c r="M101" s="493">
        <f t="shared" ref="M101" si="11">SUM(M4:M100)</f>
        <v>686359.91000000015</v>
      </c>
      <c r="N101" s="494">
        <f t="shared" ref="N101" si="12">SUM(N5,N7:N9,N11:N12,N14,N17:N23,N25,N27,N29,N31,N33:N34,N36,N38,N39,N41,N42,N47,N48:N57,N59,N60,N63,N64,N67,N69,N70,N71,N73:N78,N80:N81,N83:N91,N95:N100,N93)</f>
        <v>8214963.080000001</v>
      </c>
      <c r="O101" s="495">
        <f>SUM(O5:O100)</f>
        <v>7298600.8499999968</v>
      </c>
      <c r="P101" s="464">
        <f>N101/O101-1</f>
        <v>0.12555313666728396</v>
      </c>
    </row>
    <row r="102" spans="1:16" s="365" customFormat="1" ht="13" thickBot="1">
      <c r="A102" s="537" t="s">
        <v>265</v>
      </c>
      <c r="B102" s="538">
        <f>B101/'MTRT 2013'!B99-1</f>
        <v>-8.6457350446214054E-3</v>
      </c>
      <c r="C102" s="538">
        <f>C101/'MTRT 2013'!C99-1</f>
        <v>4.362215440799333E-2</v>
      </c>
      <c r="D102" s="538">
        <f>D101/'MTRT 2013'!D99-1</f>
        <v>0.1364045567373311</v>
      </c>
      <c r="E102" s="538">
        <f>E101/'MTRT 2013'!E99-1</f>
        <v>0.18016858428301874</v>
      </c>
      <c r="F102" s="538">
        <f>F101/'MTRT 2013'!F99-1</f>
        <v>0.10859646873852857</v>
      </c>
      <c r="G102" s="538">
        <f>G101/'MTRT 2013'!G99-1</f>
        <v>0.14887316026394948</v>
      </c>
      <c r="H102" s="538">
        <f>H101/'MTRT 2013'!H99-1</f>
        <v>0.11774394580396397</v>
      </c>
      <c r="I102" s="538">
        <f>I101/'MTRT 2013'!I99-1</f>
        <v>0.16887660612657673</v>
      </c>
      <c r="J102" s="538">
        <f>J101/'MTRT 2013'!J99-1</f>
        <v>5.6970900104163613E-2</v>
      </c>
      <c r="K102" s="538">
        <f>K101/'MTRT 2013'!K99-1</f>
        <v>0.22777362645929511</v>
      </c>
      <c r="L102" s="538">
        <f>L101/'MTRT 2013'!L99-1</f>
        <v>0.19322243917658355</v>
      </c>
      <c r="M102" s="538">
        <f>M101/'MTRT 2013'!M99-1</f>
        <v>5.0432939399503995E-2</v>
      </c>
      <c r="N102" s="569"/>
      <c r="O102" s="570"/>
      <c r="P102" s="571"/>
    </row>
    <row r="103" spans="1:16" s="236" customFormat="1">
      <c r="A103" s="242"/>
      <c r="C103" s="243"/>
      <c r="D103" s="243"/>
      <c r="F103" s="244"/>
      <c r="M103" s="244"/>
      <c r="P103" s="365"/>
    </row>
    <row r="104" spans="1:16">
      <c r="A104" s="208"/>
      <c r="G104" s="117"/>
      <c r="H104" s="117"/>
      <c r="M104" s="245"/>
      <c r="O104" s="100">
        <f>N101-O101</f>
        <v>916362.23000000417</v>
      </c>
    </row>
    <row r="105" spans="1:16">
      <c r="A105" s="208"/>
      <c r="G105" s="117"/>
      <c r="H105" s="117"/>
      <c r="I105" s="100"/>
    </row>
    <row r="106" spans="1:16">
      <c r="A106" s="246"/>
      <c r="B106" s="247"/>
      <c r="P106" s="366"/>
    </row>
    <row r="107" spans="1:16">
      <c r="A107" s="246"/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P107" s="367"/>
    </row>
    <row r="108" spans="1:16">
      <c r="A108" s="208"/>
      <c r="F108" s="243"/>
      <c r="P108" s="367"/>
    </row>
    <row r="109" spans="1:16">
      <c r="F109" s="243"/>
    </row>
    <row r="110" spans="1:16">
      <c r="L110" s="249"/>
    </row>
    <row r="111" spans="1:16">
      <c r="L111" s="118"/>
    </row>
    <row r="112" spans="1:16">
      <c r="L112" s="227"/>
    </row>
    <row r="122" spans="1:1">
      <c r="A122" s="249"/>
    </row>
  </sheetData>
  <mergeCells count="1">
    <mergeCell ref="A1:P1"/>
  </mergeCells>
  <printOptions horizontalCentered="1"/>
  <pageMargins left="0" right="0" top="0" bottom="0.25" header="0" footer="0"/>
  <pageSetup scale="56" orientation="portrait"/>
  <headerFooter alignWithMargins="0">
    <oddFooter>&amp;Z&amp;F</oddFooter>
  </headerFooter>
  <ignoredErrors>
    <ignoredError sqref="O101 O6 O10 O13 O15:O16 O24 O26 O28 O30 O32 O35 O37 O40 O43:O46 O58 O61:O62 O65:O66 O68 O72 O79 O82 O92 O94" formulaRange="1"/>
    <ignoredError sqref="P33:P34 P36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 enableFormatConditionsCalculation="0">
    <tabColor rgb="FF00B050"/>
  </sheetPr>
  <dimension ref="A1:Q120"/>
  <sheetViews>
    <sheetView workbookViewId="0">
      <pane ySplit="3" topLeftCell="A25" activePane="bottomLeft" state="frozen"/>
      <selection pane="bottomLeft" activeCell="A33" sqref="A33:XFD33"/>
    </sheetView>
  </sheetViews>
  <sheetFormatPr baseColWidth="10" defaultColWidth="8.83203125" defaultRowHeight="12" x14ac:dyDescent="0"/>
  <cols>
    <col min="1" max="1" width="16.5" bestFit="1" customWidth="1"/>
    <col min="2" max="12" width="11.33203125" bestFit="1" customWidth="1"/>
    <col min="13" max="13" width="11.33203125" style="48" bestFit="1" customWidth="1"/>
    <col min="14" max="15" width="12.5" bestFit="1" customWidth="1"/>
    <col min="16" max="16" width="9" bestFit="1" customWidth="1"/>
    <col min="17" max="17" width="12.83203125" hidden="1" customWidth="1"/>
  </cols>
  <sheetData>
    <row r="1" spans="1:17" ht="23">
      <c r="A1" s="711" t="s">
        <v>249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</row>
    <row r="2" spans="1:17" ht="13" thickBot="1">
      <c r="Q2" s="238"/>
    </row>
    <row r="3" spans="1:17" ht="13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252" t="s">
        <v>13</v>
      </c>
      <c r="N3" s="52" t="s">
        <v>127</v>
      </c>
      <c r="O3" s="251" t="s">
        <v>119</v>
      </c>
      <c r="P3" s="253" t="s">
        <v>16</v>
      </c>
      <c r="Q3" s="254"/>
    </row>
    <row r="4" spans="1:17" s="154" customFormat="1">
      <c r="A4" s="255" t="s">
        <v>153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7"/>
      <c r="N4" s="258"/>
      <c r="O4" s="256"/>
      <c r="P4" s="259"/>
      <c r="Q4" s="260"/>
    </row>
    <row r="5" spans="1:17" s="222" customFormat="1">
      <c r="A5" s="261" t="s">
        <v>154</v>
      </c>
      <c r="B5" s="262">
        <v>244.21</v>
      </c>
      <c r="C5" s="262">
        <v>336.5</v>
      </c>
      <c r="D5" s="262">
        <v>401.71</v>
      </c>
      <c r="E5" s="262">
        <v>376.85</v>
      </c>
      <c r="F5" s="262">
        <v>524.16999999999996</v>
      </c>
      <c r="G5" s="262">
        <v>0</v>
      </c>
      <c r="H5" s="262">
        <v>1010.6</v>
      </c>
      <c r="I5" s="262">
        <v>370.14</v>
      </c>
      <c r="J5" s="262">
        <v>0</v>
      </c>
      <c r="K5" s="262">
        <v>747.31</v>
      </c>
      <c r="L5" s="262">
        <v>0</v>
      </c>
      <c r="M5" s="263">
        <v>567.08000000000004</v>
      </c>
      <c r="N5" s="60">
        <f t="shared" ref="N5:N98" si="0">SUM(B5:M5)</f>
        <v>4578.57</v>
      </c>
      <c r="O5" s="19">
        <f>SUM('MTRT 2012'!B4:M4)</f>
        <v>4537.4699999999993</v>
      </c>
      <c r="P5" s="22">
        <f t="shared" ref="P5:P18" si="1">N5/O5-1</f>
        <v>9.057911126685303E-3</v>
      </c>
      <c r="Q5" s="261" t="s">
        <v>154</v>
      </c>
    </row>
    <row r="6" spans="1:17" s="154" customFormat="1">
      <c r="A6" s="255" t="s">
        <v>155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7"/>
      <c r="N6" s="258"/>
      <c r="O6" s="256"/>
      <c r="P6" s="259"/>
      <c r="Q6" s="260"/>
    </row>
    <row r="7" spans="1:17">
      <c r="A7" s="261" t="s">
        <v>156</v>
      </c>
      <c r="B7" s="264">
        <v>603.1</v>
      </c>
      <c r="C7" s="264">
        <v>1108.9100000000001</v>
      </c>
      <c r="D7" s="265">
        <v>590.67999999999995</v>
      </c>
      <c r="E7" s="262">
        <v>673.31</v>
      </c>
      <c r="F7" s="262">
        <v>1215.9100000000001</v>
      </c>
      <c r="G7" s="262">
        <v>812.24</v>
      </c>
      <c r="H7" s="262">
        <v>889.53</v>
      </c>
      <c r="I7" s="262">
        <v>1972.48</v>
      </c>
      <c r="J7" s="262">
        <v>1114.5899999999999</v>
      </c>
      <c r="K7" s="262">
        <v>1110.42</v>
      </c>
      <c r="L7" s="262">
        <v>2090.2399999999998</v>
      </c>
      <c r="M7" s="263">
        <v>935.22</v>
      </c>
      <c r="N7" s="60">
        <f t="shared" si="0"/>
        <v>13116.63</v>
      </c>
      <c r="O7" s="19">
        <f>SUM('MTRT 2012'!B5:M5)</f>
        <v>12094.08</v>
      </c>
      <c r="P7" s="22">
        <f t="shared" si="1"/>
        <v>8.4549630893792527E-2</v>
      </c>
      <c r="Q7" s="261" t="s">
        <v>156</v>
      </c>
    </row>
    <row r="8" spans="1:17">
      <c r="A8" s="261" t="s">
        <v>157</v>
      </c>
      <c r="B8" s="264">
        <v>317.99</v>
      </c>
      <c r="C8" s="264">
        <v>321.58</v>
      </c>
      <c r="D8" s="265">
        <v>281.27999999999997</v>
      </c>
      <c r="E8" s="262">
        <v>0</v>
      </c>
      <c r="F8" s="262">
        <v>835.8</v>
      </c>
      <c r="G8" s="262">
        <v>575.77</v>
      </c>
      <c r="H8" s="262">
        <v>613.55999999999995</v>
      </c>
      <c r="I8" s="262">
        <v>1291.1600000000001</v>
      </c>
      <c r="J8" s="262">
        <v>769.27</v>
      </c>
      <c r="K8" s="262">
        <v>923.53</v>
      </c>
      <c r="L8" s="262">
        <v>548.5</v>
      </c>
      <c r="M8" s="263">
        <v>437.84</v>
      </c>
      <c r="N8" s="60">
        <f t="shared" si="0"/>
        <v>6916.28</v>
      </c>
      <c r="O8" s="19">
        <f>SUM('MTRT 2012'!B6:M6)</f>
        <v>6222.8899999999994</v>
      </c>
      <c r="P8" s="22">
        <f t="shared" si="1"/>
        <v>0.1114257202039568</v>
      </c>
      <c r="Q8" s="261" t="s">
        <v>157</v>
      </c>
    </row>
    <row r="9" spans="1:17">
      <c r="A9" s="261" t="s">
        <v>158</v>
      </c>
      <c r="B9" s="264">
        <v>2093.5</v>
      </c>
      <c r="C9" s="264">
        <v>1915.08</v>
      </c>
      <c r="D9" s="265">
        <v>1501.74</v>
      </c>
      <c r="E9" s="262">
        <v>1608.62</v>
      </c>
      <c r="F9" s="262">
        <v>2256.12</v>
      </c>
      <c r="G9" s="262">
        <v>1878.53</v>
      </c>
      <c r="H9" s="262">
        <v>2175</v>
      </c>
      <c r="I9" s="262">
        <v>3200.22</v>
      </c>
      <c r="J9" s="262">
        <v>3201.7</v>
      </c>
      <c r="K9" s="262">
        <v>2779.14</v>
      </c>
      <c r="L9" s="262">
        <v>3020.99</v>
      </c>
      <c r="M9" s="263">
        <v>734.69</v>
      </c>
      <c r="N9" s="60">
        <f t="shared" si="0"/>
        <v>26365.329999999998</v>
      </c>
      <c r="O9" s="19">
        <f>SUM('MTRT 2012'!B7:M7)</f>
        <v>21615.350000000002</v>
      </c>
      <c r="P9" s="22">
        <f t="shared" si="1"/>
        <v>0.21975031632612918</v>
      </c>
      <c r="Q9" s="261"/>
    </row>
    <row r="10" spans="1:17" s="154" customFormat="1">
      <c r="A10" s="255" t="s">
        <v>159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7"/>
      <c r="N10" s="258"/>
      <c r="O10" s="256"/>
      <c r="P10" s="259"/>
      <c r="Q10" s="260"/>
    </row>
    <row r="11" spans="1:17">
      <c r="A11" s="261" t="s">
        <v>160</v>
      </c>
      <c r="B11" s="264">
        <v>7252.22</v>
      </c>
      <c r="C11" s="264">
        <v>6318.26</v>
      </c>
      <c r="D11" s="265">
        <v>4248.7299999999996</v>
      </c>
      <c r="E11" s="262">
        <v>4778.1000000000004</v>
      </c>
      <c r="F11" s="262">
        <v>8539.4500000000007</v>
      </c>
      <c r="G11" s="262">
        <v>10618.48</v>
      </c>
      <c r="H11" s="262">
        <v>9680.51</v>
      </c>
      <c r="I11" s="262">
        <v>9499.7199999999993</v>
      </c>
      <c r="J11" s="262">
        <v>11265.52</v>
      </c>
      <c r="K11" s="262">
        <v>12005.83</v>
      </c>
      <c r="L11" s="262">
        <v>16234.7</v>
      </c>
      <c r="M11" s="263">
        <v>6590.63</v>
      </c>
      <c r="N11" s="60">
        <f>SUM(B11:M11)</f>
        <v>107032.15000000001</v>
      </c>
      <c r="O11" s="19">
        <f>SUM('MTRT 2012'!B8:M8)</f>
        <v>86034.67</v>
      </c>
      <c r="P11" s="22">
        <f t="shared" si="1"/>
        <v>0.24405835461448278</v>
      </c>
      <c r="Q11" s="261" t="s">
        <v>160</v>
      </c>
    </row>
    <row r="12" spans="1:17">
      <c r="A12" s="261" t="s">
        <v>161</v>
      </c>
      <c r="B12" s="264">
        <v>2495.81</v>
      </c>
      <c r="C12" s="264">
        <v>1934.07</v>
      </c>
      <c r="D12" s="265">
        <v>2979.77</v>
      </c>
      <c r="E12" s="262">
        <v>0</v>
      </c>
      <c r="F12" s="262">
        <v>4535.12</v>
      </c>
      <c r="G12" s="262">
        <v>3528.5</v>
      </c>
      <c r="H12" s="262">
        <v>1666.15</v>
      </c>
      <c r="I12" s="262">
        <v>3101.88</v>
      </c>
      <c r="J12" s="262">
        <v>3432.22</v>
      </c>
      <c r="K12" s="262">
        <v>4024.29</v>
      </c>
      <c r="L12" s="262">
        <v>1503.5</v>
      </c>
      <c r="M12" s="263">
        <v>4823.84</v>
      </c>
      <c r="N12" s="60">
        <f t="shared" si="0"/>
        <v>34025.150000000009</v>
      </c>
      <c r="O12" s="19">
        <f>SUM('MTRT 2012'!B9:M9)</f>
        <v>30097.99</v>
      </c>
      <c r="P12" s="22">
        <f t="shared" si="1"/>
        <v>0.13047914495286927</v>
      </c>
      <c r="Q12" s="261" t="s">
        <v>161</v>
      </c>
    </row>
    <row r="13" spans="1:17" s="154" customFormat="1">
      <c r="A13" s="255" t="s">
        <v>162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7"/>
      <c r="N13" s="258"/>
      <c r="O13" s="256"/>
      <c r="P13" s="259"/>
      <c r="Q13" s="260"/>
    </row>
    <row r="14" spans="1:17">
      <c r="A14" s="261" t="s">
        <v>163</v>
      </c>
      <c r="B14" s="264">
        <v>3102.59</v>
      </c>
      <c r="C14" s="264">
        <v>2853.5</v>
      </c>
      <c r="D14" s="265">
        <v>2663.2</v>
      </c>
      <c r="E14" s="262">
        <v>2978.35</v>
      </c>
      <c r="F14" s="262">
        <v>3659.02</v>
      </c>
      <c r="G14" s="262">
        <v>4563.6099999999997</v>
      </c>
      <c r="H14" s="262">
        <v>5209.01</v>
      </c>
      <c r="I14" s="262">
        <v>5795.34</v>
      </c>
      <c r="J14" s="262">
        <v>5415.09</v>
      </c>
      <c r="K14" s="262">
        <v>4999.05</v>
      </c>
      <c r="L14" s="262">
        <v>6665.93</v>
      </c>
      <c r="M14" s="263">
        <v>5802.3</v>
      </c>
      <c r="N14" s="60">
        <f t="shared" si="0"/>
        <v>53706.990000000005</v>
      </c>
      <c r="O14" s="19">
        <f>SUM('MTRT 2012'!B10:M10)</f>
        <v>59403.789999999994</v>
      </c>
      <c r="P14" s="22">
        <f t="shared" si="1"/>
        <v>-9.5899605058868964E-2</v>
      </c>
      <c r="Q14" s="261" t="s">
        <v>163</v>
      </c>
    </row>
    <row r="15" spans="1:17" s="154" customFormat="1">
      <c r="A15" s="255" t="s">
        <v>164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7"/>
      <c r="N15" s="258"/>
      <c r="O15" s="256"/>
      <c r="P15" s="259"/>
      <c r="Q15" s="260"/>
    </row>
    <row r="16" spans="1:17" s="154" customFormat="1">
      <c r="A16" s="255" t="s">
        <v>165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7"/>
      <c r="N16" s="258"/>
      <c r="O16" s="256"/>
      <c r="P16" s="259"/>
      <c r="Q16" s="260"/>
    </row>
    <row r="17" spans="1:17">
      <c r="A17" s="261" t="s">
        <v>166</v>
      </c>
      <c r="B17" s="264">
        <v>248.08</v>
      </c>
      <c r="C17" s="264">
        <v>225.56</v>
      </c>
      <c r="D17" s="265">
        <v>258.23</v>
      </c>
      <c r="E17" s="262">
        <v>261.75</v>
      </c>
      <c r="F17" s="262">
        <v>346.69</v>
      </c>
      <c r="G17" s="262">
        <v>423.65</v>
      </c>
      <c r="H17" s="262">
        <v>566.47</v>
      </c>
      <c r="I17" s="262">
        <v>876.7</v>
      </c>
      <c r="J17" s="262">
        <v>839.89</v>
      </c>
      <c r="K17" s="262">
        <v>719.05</v>
      </c>
      <c r="L17" s="262">
        <v>510.68</v>
      </c>
      <c r="M17" s="263">
        <v>536.33000000000004</v>
      </c>
      <c r="N17" s="60">
        <f t="shared" si="0"/>
        <v>5813.08</v>
      </c>
      <c r="O17" s="19">
        <f>SUM('MTRT 2012'!B11:M11)</f>
        <v>5595.55</v>
      </c>
      <c r="P17" s="22">
        <f t="shared" si="1"/>
        <v>3.8875535023366714E-2</v>
      </c>
      <c r="Q17" s="261" t="s">
        <v>166</v>
      </c>
    </row>
    <row r="18" spans="1:17">
      <c r="A18" s="261" t="s">
        <v>167</v>
      </c>
      <c r="B18" s="264">
        <v>11.98</v>
      </c>
      <c r="C18" s="264">
        <v>0.66</v>
      </c>
      <c r="D18" s="265">
        <v>0.22</v>
      </c>
      <c r="E18" s="262">
        <v>2.66</v>
      </c>
      <c r="F18" s="262">
        <v>14.83</v>
      </c>
      <c r="G18" s="262">
        <v>0</v>
      </c>
      <c r="H18" s="262">
        <v>363.62</v>
      </c>
      <c r="I18" s="262">
        <v>843.41</v>
      </c>
      <c r="J18" s="262">
        <v>1052.49</v>
      </c>
      <c r="K18" s="262">
        <v>978.86</v>
      </c>
      <c r="L18" s="262">
        <v>480.74</v>
      </c>
      <c r="M18" s="263">
        <v>192.28</v>
      </c>
      <c r="N18" s="60">
        <f t="shared" si="0"/>
        <v>3941.7500000000005</v>
      </c>
      <c r="O18" s="19">
        <f>SUM('MTRT 2012'!B12:M12)</f>
        <v>4147.51</v>
      </c>
      <c r="P18" s="22">
        <f t="shared" si="1"/>
        <v>-4.9610489185077267E-2</v>
      </c>
      <c r="Q18" s="261" t="s">
        <v>167</v>
      </c>
    </row>
    <row r="19" spans="1:17">
      <c r="A19" s="261" t="s">
        <v>168</v>
      </c>
      <c r="B19" s="262">
        <v>10015.969999999999</v>
      </c>
      <c r="C19" s="262">
        <v>8033.19</v>
      </c>
      <c r="D19" s="265">
        <v>12141.57</v>
      </c>
      <c r="E19" s="262">
        <v>9231.2000000000007</v>
      </c>
      <c r="F19" s="262">
        <v>13149.23</v>
      </c>
      <c r="G19" s="262">
        <v>12459.53</v>
      </c>
      <c r="H19" s="262">
        <v>17108.29</v>
      </c>
      <c r="I19" s="262">
        <v>16019.2</v>
      </c>
      <c r="J19" s="262">
        <v>18416.52</v>
      </c>
      <c r="K19" s="262">
        <v>17495.11</v>
      </c>
      <c r="L19" s="262">
        <v>14541.74</v>
      </c>
      <c r="M19" s="263">
        <v>13358.47</v>
      </c>
      <c r="N19" s="60">
        <f t="shared" si="0"/>
        <v>161970.01999999999</v>
      </c>
      <c r="O19" s="19">
        <f>SUM('MTRT 2012'!B13:M13)</f>
        <v>157592.49000000002</v>
      </c>
      <c r="P19" s="22">
        <f>N19/O19-1</f>
        <v>2.7777529246475918E-2</v>
      </c>
      <c r="Q19" s="261" t="s">
        <v>168</v>
      </c>
    </row>
    <row r="20" spans="1:17">
      <c r="A20" s="261" t="s">
        <v>169</v>
      </c>
      <c r="B20" s="262">
        <v>0</v>
      </c>
      <c r="C20" s="262">
        <v>1670.61</v>
      </c>
      <c r="D20" s="265">
        <v>2885.92</v>
      </c>
      <c r="E20" s="262">
        <v>1439.23</v>
      </c>
      <c r="F20" s="262">
        <v>134.57</v>
      </c>
      <c r="G20" s="262">
        <v>2044.03</v>
      </c>
      <c r="H20" s="262">
        <v>5243.41</v>
      </c>
      <c r="I20" s="262">
        <v>0</v>
      </c>
      <c r="J20" s="262">
        <v>2353.48</v>
      </c>
      <c r="K20" s="262">
        <v>4645.72</v>
      </c>
      <c r="L20" s="262">
        <v>3503.12</v>
      </c>
      <c r="M20" s="263">
        <v>924.34</v>
      </c>
      <c r="N20" s="60">
        <f t="shared" si="0"/>
        <v>24844.43</v>
      </c>
      <c r="O20" s="19">
        <f>SUM('MTRT 2012'!B14:M14)</f>
        <v>25170.83</v>
      </c>
      <c r="P20" s="22">
        <f t="shared" ref="P20:P98" si="2">N20/O20-1</f>
        <v>-1.296739122229984E-2</v>
      </c>
      <c r="Q20" s="261" t="s">
        <v>169</v>
      </c>
    </row>
    <row r="21" spans="1:17">
      <c r="A21" s="261" t="s">
        <v>170</v>
      </c>
      <c r="B21" s="266">
        <v>0</v>
      </c>
      <c r="C21" s="262">
        <v>472.35</v>
      </c>
      <c r="D21" s="265">
        <v>0</v>
      </c>
      <c r="E21" s="266">
        <v>0</v>
      </c>
      <c r="F21" s="266">
        <v>443.65</v>
      </c>
      <c r="G21" s="262">
        <v>0</v>
      </c>
      <c r="H21" s="262">
        <v>0</v>
      </c>
      <c r="I21" s="262">
        <v>643.13</v>
      </c>
      <c r="J21" s="262">
        <v>0</v>
      </c>
      <c r="K21" s="262">
        <v>0</v>
      </c>
      <c r="L21" s="262">
        <v>841.92</v>
      </c>
      <c r="M21" s="263">
        <v>0</v>
      </c>
      <c r="N21" s="60">
        <f t="shared" si="0"/>
        <v>2401.0500000000002</v>
      </c>
      <c r="O21" s="19">
        <f>SUM('MTRT 2012'!B15:M15)</f>
        <v>2364.23</v>
      </c>
      <c r="P21" s="22">
        <f t="shared" si="2"/>
        <v>1.55737808927221E-2</v>
      </c>
      <c r="Q21" s="261" t="s">
        <v>170</v>
      </c>
    </row>
    <row r="22" spans="1:17">
      <c r="A22" s="261" t="s">
        <v>171</v>
      </c>
      <c r="B22" s="266">
        <v>706.98</v>
      </c>
      <c r="C22" s="262">
        <v>2191.48</v>
      </c>
      <c r="D22" s="265">
        <v>3696.95</v>
      </c>
      <c r="E22" s="266">
        <v>2470.96</v>
      </c>
      <c r="F22" s="266">
        <v>4054.66</v>
      </c>
      <c r="G22" s="262">
        <v>1912.78</v>
      </c>
      <c r="H22" s="262">
        <v>4424.75</v>
      </c>
      <c r="I22" s="262">
        <v>2152.29</v>
      </c>
      <c r="J22" s="262">
        <v>4096.7700000000004</v>
      </c>
      <c r="K22" s="262">
        <v>5426.63</v>
      </c>
      <c r="L22" s="262">
        <v>2867.23</v>
      </c>
      <c r="M22" s="263">
        <v>2741.92</v>
      </c>
      <c r="N22" s="60">
        <f t="shared" si="0"/>
        <v>36743.4</v>
      </c>
      <c r="O22" s="19">
        <f>SUM('MTRT 2012'!B16:M16)</f>
        <v>36096.69</v>
      </c>
      <c r="P22" s="22">
        <f t="shared" si="2"/>
        <v>1.7916047150029479E-2</v>
      </c>
      <c r="Q22" s="261" t="s">
        <v>171</v>
      </c>
    </row>
    <row r="23" spans="1:17">
      <c r="A23" s="261" t="s">
        <v>172</v>
      </c>
      <c r="B23" s="262">
        <v>1292.8800000000001</v>
      </c>
      <c r="C23" s="262">
        <v>996.95</v>
      </c>
      <c r="D23" s="265">
        <v>2433.73</v>
      </c>
      <c r="E23" s="262">
        <v>0</v>
      </c>
      <c r="F23" s="262">
        <v>1277.17</v>
      </c>
      <c r="G23" s="266">
        <v>1445.5</v>
      </c>
      <c r="H23" s="266">
        <v>3500.63</v>
      </c>
      <c r="I23" s="262">
        <v>0</v>
      </c>
      <c r="J23" s="262">
        <v>2218.88</v>
      </c>
      <c r="K23" s="262">
        <v>2245.71</v>
      </c>
      <c r="L23" s="262">
        <v>1505.86</v>
      </c>
      <c r="M23" s="263">
        <v>2680.91</v>
      </c>
      <c r="N23" s="60">
        <f t="shared" si="0"/>
        <v>19598.22</v>
      </c>
      <c r="O23" s="19">
        <f>SUM('MTRT 2012'!B17:M17)</f>
        <v>17433.969999999998</v>
      </c>
      <c r="P23" s="22">
        <f t="shared" si="2"/>
        <v>0.12413982586869232</v>
      </c>
      <c r="Q23" s="261" t="s">
        <v>172</v>
      </c>
    </row>
    <row r="24" spans="1:17" s="154" customFormat="1">
      <c r="A24" s="255" t="s">
        <v>173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7"/>
      <c r="N24" s="258"/>
      <c r="O24" s="256"/>
      <c r="P24" s="259"/>
      <c r="Q24" s="260"/>
    </row>
    <row r="25" spans="1:17">
      <c r="A25" s="261" t="s">
        <v>174</v>
      </c>
      <c r="B25" s="264">
        <v>1481.38</v>
      </c>
      <c r="C25" s="264">
        <v>1400.14</v>
      </c>
      <c r="D25" s="265">
        <v>2078.25</v>
      </c>
      <c r="E25" s="262">
        <v>775.89</v>
      </c>
      <c r="F25" s="262">
        <v>1987.06</v>
      </c>
      <c r="G25" s="262">
        <v>1084.48</v>
      </c>
      <c r="H25" s="262">
        <v>1321.55</v>
      </c>
      <c r="I25" s="262">
        <v>2556.23</v>
      </c>
      <c r="J25" s="262">
        <v>1024.95</v>
      </c>
      <c r="K25" s="262">
        <v>1011.51</v>
      </c>
      <c r="L25" s="262">
        <v>2947.87</v>
      </c>
      <c r="M25" s="263">
        <v>1069.78</v>
      </c>
      <c r="N25" s="60">
        <f t="shared" si="0"/>
        <v>18739.09</v>
      </c>
      <c r="O25" s="19">
        <f>SUM('MTRT 2012'!B18:M18)</f>
        <v>21376.579999999998</v>
      </c>
      <c r="P25" s="22">
        <f t="shared" si="2"/>
        <v>-0.12338222484606975</v>
      </c>
      <c r="Q25" s="261" t="s">
        <v>174</v>
      </c>
    </row>
    <row r="26" spans="1:17" s="154" customFormat="1">
      <c r="A26" s="255" t="s">
        <v>175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7"/>
      <c r="N26" s="258"/>
      <c r="O26" s="256"/>
      <c r="P26" s="259"/>
      <c r="Q26" s="260"/>
    </row>
    <row r="27" spans="1:17">
      <c r="A27" s="261" t="s">
        <v>176</v>
      </c>
      <c r="B27" s="264">
        <v>2266.36</v>
      </c>
      <c r="C27" s="264">
        <v>1284.95</v>
      </c>
      <c r="D27" s="265">
        <v>1897.32</v>
      </c>
      <c r="E27" s="262">
        <v>1868.79</v>
      </c>
      <c r="F27" s="262">
        <v>4687.03</v>
      </c>
      <c r="G27" s="262">
        <v>6750.52</v>
      </c>
      <c r="H27" s="262">
        <v>7607.85</v>
      </c>
      <c r="I27" s="262">
        <v>7576.51</v>
      </c>
      <c r="J27" s="262">
        <v>11431.59</v>
      </c>
      <c r="K27" s="262">
        <v>10879.21</v>
      </c>
      <c r="L27" s="262">
        <v>7427.48</v>
      </c>
      <c r="M27" s="263">
        <v>5770.88</v>
      </c>
      <c r="N27" s="60">
        <f t="shared" si="0"/>
        <v>69448.490000000005</v>
      </c>
      <c r="O27" s="19">
        <f>SUM('MTRT 2012'!B19:M19)</f>
        <v>64336.68</v>
      </c>
      <c r="P27" s="22">
        <f t="shared" si="2"/>
        <v>7.9454053271011293E-2</v>
      </c>
      <c r="Q27" s="261" t="s">
        <v>176</v>
      </c>
    </row>
    <row r="28" spans="1:17" s="154" customFormat="1">
      <c r="A28" s="255" t="s">
        <v>177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7"/>
      <c r="N28" s="258"/>
      <c r="O28" s="256"/>
      <c r="P28" s="259"/>
      <c r="Q28" s="260"/>
    </row>
    <row r="29" spans="1:17">
      <c r="A29" s="261" t="s">
        <v>178</v>
      </c>
      <c r="B29" s="264">
        <v>289.27</v>
      </c>
      <c r="C29" s="264">
        <v>1733.94</v>
      </c>
      <c r="D29" s="265">
        <v>61.06</v>
      </c>
      <c r="E29" s="262">
        <v>188.54</v>
      </c>
      <c r="F29" s="262">
        <v>930.19</v>
      </c>
      <c r="G29" s="262">
        <v>94.5</v>
      </c>
      <c r="H29" s="262">
        <v>575.51</v>
      </c>
      <c r="I29" s="262">
        <v>5137.09</v>
      </c>
      <c r="J29" s="262">
        <v>850.94</v>
      </c>
      <c r="K29" s="262">
        <v>1068.95</v>
      </c>
      <c r="L29" s="262">
        <v>3405.9</v>
      </c>
      <c r="M29" s="263">
        <v>704.28</v>
      </c>
      <c r="N29" s="60">
        <f t="shared" si="0"/>
        <v>15040.170000000002</v>
      </c>
      <c r="O29" s="19">
        <f>SUM('MTRT 2012'!B20:M20)</f>
        <v>13881.069999999998</v>
      </c>
      <c r="P29" s="22">
        <f t="shared" si="2"/>
        <v>8.3502208403243072E-2</v>
      </c>
      <c r="Q29" s="261"/>
    </row>
    <row r="30" spans="1:17" s="154" customFormat="1">
      <c r="A30" s="255" t="s">
        <v>179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7"/>
      <c r="N30" s="258"/>
      <c r="O30" s="256"/>
      <c r="P30" s="259"/>
      <c r="Q30" s="260"/>
    </row>
    <row r="31" spans="1:17">
      <c r="A31" s="261" t="s">
        <v>180</v>
      </c>
      <c r="B31" s="264">
        <v>25628.38</v>
      </c>
      <c r="C31" s="264">
        <v>21596.639999999999</v>
      </c>
      <c r="D31" s="265">
        <v>9287.33</v>
      </c>
      <c r="E31" s="262">
        <v>11247.84</v>
      </c>
      <c r="F31" s="262">
        <v>67574.92</v>
      </c>
      <c r="G31" s="262">
        <v>69114.759999999995</v>
      </c>
      <c r="H31" s="262">
        <v>91737.56</v>
      </c>
      <c r="I31" s="262">
        <v>97790.61</v>
      </c>
      <c r="J31" s="262">
        <v>81787.460000000006</v>
      </c>
      <c r="K31" s="262">
        <v>76935.19</v>
      </c>
      <c r="L31" s="262">
        <v>115976.65</v>
      </c>
      <c r="M31" s="263">
        <v>88219.32</v>
      </c>
      <c r="N31" s="60">
        <f t="shared" si="0"/>
        <v>756896.65999999992</v>
      </c>
      <c r="O31" s="19">
        <f>SUM('MTRT 2012'!B21:M21)</f>
        <v>692929.38000000012</v>
      </c>
      <c r="P31" s="22">
        <f t="shared" si="2"/>
        <v>9.2314284610070629E-2</v>
      </c>
      <c r="Q31" s="261" t="s">
        <v>180</v>
      </c>
    </row>
    <row r="32" spans="1:17" s="154" customFormat="1">
      <c r="A32" s="255" t="s">
        <v>181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7"/>
      <c r="N32" s="258"/>
      <c r="O32" s="256"/>
      <c r="P32" s="259"/>
      <c r="Q32" s="260"/>
    </row>
    <row r="33" spans="1:17">
      <c r="A33" s="261" t="s">
        <v>182</v>
      </c>
      <c r="B33" s="264"/>
      <c r="C33" s="264"/>
      <c r="D33" s="265"/>
      <c r="E33" s="262"/>
      <c r="F33" s="262"/>
      <c r="G33" s="262"/>
      <c r="H33" s="262"/>
      <c r="I33" s="262"/>
      <c r="J33" s="262">
        <v>0</v>
      </c>
      <c r="K33" s="262">
        <v>0</v>
      </c>
      <c r="L33" s="262">
        <v>6118.73</v>
      </c>
      <c r="M33" s="263">
        <v>8276.2800000000007</v>
      </c>
      <c r="N33" s="60">
        <f t="shared" si="0"/>
        <v>14395.01</v>
      </c>
      <c r="O33" s="19"/>
      <c r="P33" s="22"/>
      <c r="Q33" s="261"/>
    </row>
    <row r="34" spans="1:17">
      <c r="A34" s="261" t="s">
        <v>183</v>
      </c>
      <c r="B34" s="264"/>
      <c r="C34" s="264"/>
      <c r="D34" s="265"/>
      <c r="E34" s="262"/>
      <c r="F34" s="262"/>
      <c r="G34" s="262"/>
      <c r="H34" s="262"/>
      <c r="I34" s="262"/>
      <c r="J34" s="262">
        <v>0</v>
      </c>
      <c r="K34" s="262">
        <v>0</v>
      </c>
      <c r="L34" s="262">
        <v>0</v>
      </c>
      <c r="M34" s="263">
        <v>922.83</v>
      </c>
      <c r="N34" s="60">
        <f t="shared" si="0"/>
        <v>922.83</v>
      </c>
      <c r="O34" s="19"/>
      <c r="P34" s="22"/>
      <c r="Q34" s="261"/>
    </row>
    <row r="35" spans="1:17" s="154" customFormat="1">
      <c r="A35" s="255" t="s">
        <v>184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7"/>
      <c r="N35" s="258"/>
      <c r="O35" s="256"/>
      <c r="P35" s="259"/>
      <c r="Q35" s="260"/>
    </row>
    <row r="36" spans="1:17">
      <c r="A36" s="261" t="s">
        <v>185</v>
      </c>
      <c r="B36" s="264">
        <v>0</v>
      </c>
      <c r="C36" s="264">
        <v>0</v>
      </c>
      <c r="D36" s="265">
        <v>0</v>
      </c>
      <c r="E36" s="262">
        <v>0</v>
      </c>
      <c r="F36" s="262">
        <v>0</v>
      </c>
      <c r="G36" s="262">
        <v>0</v>
      </c>
      <c r="H36" s="262">
        <v>0</v>
      </c>
      <c r="I36" s="262">
        <v>0</v>
      </c>
      <c r="J36" s="262">
        <v>0</v>
      </c>
      <c r="K36" s="262">
        <v>0</v>
      </c>
      <c r="L36" s="262">
        <v>0</v>
      </c>
      <c r="M36" s="263">
        <v>0</v>
      </c>
      <c r="N36" s="60">
        <f t="shared" si="0"/>
        <v>0</v>
      </c>
      <c r="O36" s="19">
        <f>SUM('MTRT 2012'!B22:M22)</f>
        <v>0</v>
      </c>
      <c r="P36" s="22"/>
      <c r="Q36" s="261"/>
    </row>
    <row r="37" spans="1:17" s="154" customFormat="1">
      <c r="A37" s="255" t="s">
        <v>186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7"/>
      <c r="N37" s="258"/>
      <c r="O37" s="256"/>
      <c r="P37" s="259"/>
      <c r="Q37" s="260"/>
    </row>
    <row r="38" spans="1:17">
      <c r="A38" s="261" t="s">
        <v>187</v>
      </c>
      <c r="B38" s="264">
        <v>0</v>
      </c>
      <c r="C38" s="264">
        <v>337.9</v>
      </c>
      <c r="D38" s="265">
        <v>0</v>
      </c>
      <c r="E38" s="262">
        <v>82.37</v>
      </c>
      <c r="F38" s="262">
        <v>235.88</v>
      </c>
      <c r="G38" s="262">
        <v>112.78</v>
      </c>
      <c r="H38" s="262">
        <v>344.23</v>
      </c>
      <c r="I38" s="262">
        <v>449.6</v>
      </c>
      <c r="J38" s="262">
        <v>4.47</v>
      </c>
      <c r="K38" s="262">
        <v>0</v>
      </c>
      <c r="L38" s="262">
        <v>396.41</v>
      </c>
      <c r="M38" s="263">
        <v>0</v>
      </c>
      <c r="N38" s="60">
        <f t="shared" si="0"/>
        <v>1963.6399999999999</v>
      </c>
      <c r="O38" s="19">
        <f>SUM('MTRT 2012'!B23:M23)</f>
        <v>1374.47</v>
      </c>
      <c r="P38" s="22">
        <f t="shared" si="2"/>
        <v>0.42865249878134826</v>
      </c>
      <c r="Q38" s="261"/>
    </row>
    <row r="39" spans="1:17">
      <c r="A39" s="261" t="s">
        <v>188</v>
      </c>
      <c r="B39" s="264">
        <v>4538.53</v>
      </c>
      <c r="C39" s="264">
        <v>9517.86</v>
      </c>
      <c r="D39" s="265">
        <v>2489.12</v>
      </c>
      <c r="E39" s="262">
        <v>1455.85</v>
      </c>
      <c r="F39" s="262">
        <v>7096.33</v>
      </c>
      <c r="G39" s="262">
        <v>9092.14</v>
      </c>
      <c r="H39" s="262">
        <v>6505.31</v>
      </c>
      <c r="I39" s="262">
        <v>20734.66</v>
      </c>
      <c r="J39" s="262">
        <v>9428.07</v>
      </c>
      <c r="K39" s="262">
        <v>12658.75</v>
      </c>
      <c r="L39" s="262">
        <v>28056.2</v>
      </c>
      <c r="M39" s="263">
        <v>8419.02</v>
      </c>
      <c r="N39" s="60">
        <f t="shared" si="0"/>
        <v>119991.84</v>
      </c>
      <c r="O39" s="19">
        <f>SUM('MTRT 2012'!B24:M24)</f>
        <v>107579.59</v>
      </c>
      <c r="P39" s="22">
        <f t="shared" si="2"/>
        <v>0.11537736851386038</v>
      </c>
      <c r="Q39" s="261"/>
    </row>
    <row r="40" spans="1:17" s="154" customFormat="1">
      <c r="A40" s="255" t="s">
        <v>189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7"/>
      <c r="N40" s="258"/>
      <c r="O40" s="256"/>
      <c r="P40" s="259"/>
      <c r="Q40" s="260"/>
    </row>
    <row r="41" spans="1:17">
      <c r="A41" s="261" t="s">
        <v>190</v>
      </c>
      <c r="B41" s="264">
        <v>747.51</v>
      </c>
      <c r="C41" s="264">
        <v>1447.25</v>
      </c>
      <c r="D41" s="265">
        <v>556.76</v>
      </c>
      <c r="E41" s="262">
        <v>532.53</v>
      </c>
      <c r="F41" s="262">
        <v>1898.55</v>
      </c>
      <c r="G41" s="262">
        <v>1494.61</v>
      </c>
      <c r="H41" s="262">
        <v>1638.43</v>
      </c>
      <c r="I41" s="262">
        <v>2244.8200000000002</v>
      </c>
      <c r="J41" s="262">
        <v>1111.92</v>
      </c>
      <c r="K41" s="262">
        <v>972.17</v>
      </c>
      <c r="L41" s="262">
        <v>2287.14</v>
      </c>
      <c r="M41" s="263">
        <v>1143.19</v>
      </c>
      <c r="N41" s="60">
        <f t="shared" si="0"/>
        <v>16074.88</v>
      </c>
      <c r="O41" s="19">
        <f>SUM('MTRT 2012'!B25:M25)</f>
        <v>14405.77</v>
      </c>
      <c r="P41" s="22">
        <f t="shared" si="2"/>
        <v>0.11586399060931818</v>
      </c>
      <c r="Q41" s="261" t="s">
        <v>190</v>
      </c>
    </row>
    <row r="42" spans="1:17">
      <c r="A42" s="261" t="s">
        <v>191</v>
      </c>
      <c r="B42" s="264">
        <v>1271.95</v>
      </c>
      <c r="C42" s="264">
        <v>1367.92</v>
      </c>
      <c r="D42" s="265">
        <v>1076.58</v>
      </c>
      <c r="E42" s="262">
        <v>666.25</v>
      </c>
      <c r="F42" s="262">
        <v>1749.82</v>
      </c>
      <c r="G42" s="262">
        <v>1539.61</v>
      </c>
      <c r="H42" s="262">
        <v>2108.21</v>
      </c>
      <c r="I42" s="262">
        <v>2821.88</v>
      </c>
      <c r="J42" s="262">
        <v>2131.9</v>
      </c>
      <c r="K42" s="262">
        <v>1872.94</v>
      </c>
      <c r="L42" s="262">
        <v>2358.06</v>
      </c>
      <c r="M42" s="263">
        <v>1406.96</v>
      </c>
      <c r="N42" s="60">
        <f t="shared" si="0"/>
        <v>20372.080000000002</v>
      </c>
      <c r="O42" s="19">
        <f>SUM('MTRT 2012'!B26:M26)</f>
        <v>18492.87</v>
      </c>
      <c r="P42" s="22">
        <f t="shared" si="2"/>
        <v>0.10161808307742404</v>
      </c>
      <c r="Q42" s="261" t="s">
        <v>191</v>
      </c>
    </row>
    <row r="43" spans="1:17" s="154" customFormat="1">
      <c r="A43" s="255" t="s">
        <v>192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7"/>
      <c r="N43" s="258"/>
      <c r="O43" s="256"/>
      <c r="P43" s="259"/>
      <c r="Q43" s="260"/>
    </row>
    <row r="44" spans="1:17" s="154" customFormat="1">
      <c r="A44" s="255" t="s">
        <v>193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7"/>
      <c r="N44" s="258"/>
      <c r="O44" s="256"/>
      <c r="P44" s="259"/>
      <c r="Q44" s="260"/>
    </row>
    <row r="45" spans="1:17" s="154" customFormat="1">
      <c r="A45" s="255" t="s">
        <v>194</v>
      </c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7"/>
      <c r="N45" s="258"/>
      <c r="O45" s="256"/>
      <c r="P45" s="259"/>
      <c r="Q45" s="260"/>
    </row>
    <row r="46" spans="1:17" s="154" customFormat="1">
      <c r="A46" s="255" t="s">
        <v>195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7"/>
      <c r="N46" s="258"/>
      <c r="O46" s="256"/>
      <c r="P46" s="259"/>
      <c r="Q46" s="260"/>
    </row>
    <row r="47" spans="1:17">
      <c r="A47" s="261" t="s">
        <v>196</v>
      </c>
      <c r="B47" s="264">
        <v>1151.46</v>
      </c>
      <c r="C47" s="264">
        <v>3904.64</v>
      </c>
      <c r="D47" s="265">
        <v>3058.44</v>
      </c>
      <c r="E47" s="262">
        <v>2867.21</v>
      </c>
      <c r="F47" s="262">
        <v>4084.26</v>
      </c>
      <c r="G47" s="262">
        <v>0</v>
      </c>
      <c r="H47" s="262">
        <v>642.91999999999996</v>
      </c>
      <c r="I47" s="262">
        <v>683.8</v>
      </c>
      <c r="J47" s="262">
        <v>1388.13</v>
      </c>
      <c r="K47" s="262">
        <v>1256.08</v>
      </c>
      <c r="L47" s="262">
        <v>2013.8</v>
      </c>
      <c r="M47" s="263">
        <v>2676.69</v>
      </c>
      <c r="N47" s="60">
        <f t="shared" si="0"/>
        <v>23727.43</v>
      </c>
      <c r="O47" s="19">
        <f>SUM('MTRT 2012'!B27:M27)</f>
        <v>22103.589999999997</v>
      </c>
      <c r="P47" s="22">
        <f t="shared" si="2"/>
        <v>7.3464989171442507E-2</v>
      </c>
      <c r="Q47" s="261" t="s">
        <v>197</v>
      </c>
    </row>
    <row r="48" spans="1:17">
      <c r="A48" s="261" t="s">
        <v>198</v>
      </c>
      <c r="B48" s="264">
        <v>4063.29</v>
      </c>
      <c r="C48" s="264">
        <v>3802.67</v>
      </c>
      <c r="D48" s="265">
        <v>6045.41</v>
      </c>
      <c r="E48" s="262">
        <v>4720.7700000000004</v>
      </c>
      <c r="F48" s="262">
        <v>6050.78</v>
      </c>
      <c r="G48" s="262">
        <v>5462.08</v>
      </c>
      <c r="H48" s="262">
        <v>5630.32</v>
      </c>
      <c r="I48" s="262">
        <v>6791.24</v>
      </c>
      <c r="J48" s="262">
        <v>6843.91</v>
      </c>
      <c r="K48" s="262">
        <v>9989.2900000000009</v>
      </c>
      <c r="L48" s="262">
        <v>5350.21</v>
      </c>
      <c r="M48" s="263">
        <v>2315.65</v>
      </c>
      <c r="N48" s="60">
        <f t="shared" si="0"/>
        <v>67065.62</v>
      </c>
      <c r="O48" s="19">
        <f>SUM('MTRT 2012'!B28:M28)</f>
        <v>47342.66</v>
      </c>
      <c r="P48" s="22">
        <f t="shared" si="2"/>
        <v>0.4166001656856626</v>
      </c>
      <c r="Q48" s="261"/>
    </row>
    <row r="49" spans="1:17">
      <c r="A49" s="261" t="s">
        <v>199</v>
      </c>
      <c r="B49" s="264">
        <v>4893.99</v>
      </c>
      <c r="C49" s="264">
        <v>36.369999999999997</v>
      </c>
      <c r="D49" s="265">
        <v>4646.8</v>
      </c>
      <c r="E49" s="262">
        <v>3583.68</v>
      </c>
      <c r="F49" s="262">
        <v>4060.54</v>
      </c>
      <c r="G49" s="262">
        <v>3316.82</v>
      </c>
      <c r="H49" s="262">
        <v>2841.78</v>
      </c>
      <c r="I49" s="262">
        <v>3638.81</v>
      </c>
      <c r="J49" s="262">
        <v>3950</v>
      </c>
      <c r="K49" s="262">
        <v>3309.49</v>
      </c>
      <c r="L49" s="262">
        <v>8070.12</v>
      </c>
      <c r="M49" s="263">
        <v>2427.4699999999998</v>
      </c>
      <c r="N49" s="60">
        <f t="shared" si="0"/>
        <v>44775.87</v>
      </c>
      <c r="O49" s="19">
        <f>SUM('MTRT 2012'!B29:M29)</f>
        <v>41719.93</v>
      </c>
      <c r="P49" s="22">
        <f t="shared" si="2"/>
        <v>7.3248924434916374E-2</v>
      </c>
      <c r="Q49" s="267" t="s">
        <v>199</v>
      </c>
    </row>
    <row r="50" spans="1:17">
      <c r="A50" s="261" t="s">
        <v>200</v>
      </c>
      <c r="B50" s="264">
        <v>5465.82</v>
      </c>
      <c r="C50" s="264">
        <v>6404.31</v>
      </c>
      <c r="D50" s="265">
        <v>11396.25</v>
      </c>
      <c r="E50" s="262">
        <v>5542.85</v>
      </c>
      <c r="F50" s="262">
        <v>11095.19</v>
      </c>
      <c r="G50" s="262">
        <v>8162.45</v>
      </c>
      <c r="H50" s="262">
        <v>7439.03</v>
      </c>
      <c r="I50" s="262">
        <v>12015.02</v>
      </c>
      <c r="J50" s="262">
        <v>9386.64</v>
      </c>
      <c r="K50" s="262">
        <v>11013.13</v>
      </c>
      <c r="L50" s="262">
        <v>13986.71</v>
      </c>
      <c r="M50" s="263">
        <v>6356</v>
      </c>
      <c r="N50" s="60">
        <f t="shared" si="0"/>
        <v>108263.4</v>
      </c>
      <c r="O50" s="19">
        <f>SUM('MTRT 2012'!B30:M30)</f>
        <v>99812.45</v>
      </c>
      <c r="P50" s="22">
        <f t="shared" si="2"/>
        <v>8.4668295388000248E-2</v>
      </c>
      <c r="Q50" s="261"/>
    </row>
    <row r="51" spans="1:17">
      <c r="A51" s="261" t="s">
        <v>201</v>
      </c>
      <c r="B51" s="264">
        <v>5639.13</v>
      </c>
      <c r="C51" s="264">
        <v>7587.37</v>
      </c>
      <c r="D51" s="265">
        <v>8637.6</v>
      </c>
      <c r="E51" s="262">
        <v>7939.32</v>
      </c>
      <c r="F51" s="262">
        <v>7697.3</v>
      </c>
      <c r="G51" s="262">
        <v>9549.76</v>
      </c>
      <c r="H51" s="262">
        <v>4356.3999999999996</v>
      </c>
      <c r="I51" s="262">
        <v>8006.54</v>
      </c>
      <c r="J51" s="262">
        <v>7213.42</v>
      </c>
      <c r="K51" s="262">
        <v>7093.36</v>
      </c>
      <c r="L51" s="262">
        <v>5574.14</v>
      </c>
      <c r="M51" s="263">
        <v>7778.49</v>
      </c>
      <c r="N51" s="60">
        <f t="shared" si="0"/>
        <v>87072.830000000016</v>
      </c>
      <c r="O51" s="19">
        <f>SUM('MTRT 2012'!B31:M31)</f>
        <v>94109.17</v>
      </c>
      <c r="P51" s="22">
        <f t="shared" si="2"/>
        <v>-7.4767846746496502E-2</v>
      </c>
      <c r="Q51" s="261"/>
    </row>
    <row r="52" spans="1:17">
      <c r="A52" s="261" t="s">
        <v>202</v>
      </c>
      <c r="B52" s="264">
        <v>173147.85</v>
      </c>
      <c r="C52" s="264">
        <v>147946.65</v>
      </c>
      <c r="D52" s="265">
        <v>233954.23</v>
      </c>
      <c r="E52" s="262">
        <v>173619.75</v>
      </c>
      <c r="F52" s="262">
        <v>224929.59</v>
      </c>
      <c r="G52" s="262">
        <v>223603.21</v>
      </c>
      <c r="H52" s="262">
        <v>192180.37</v>
      </c>
      <c r="I52" s="262">
        <v>233610.64</v>
      </c>
      <c r="J52" s="262">
        <v>245144.91</v>
      </c>
      <c r="K52" s="262">
        <v>232551.89</v>
      </c>
      <c r="L52" s="262">
        <v>231130.06</v>
      </c>
      <c r="M52" s="263">
        <v>225439.63</v>
      </c>
      <c r="N52" s="60">
        <f t="shared" si="0"/>
        <v>2537258.7799999998</v>
      </c>
      <c r="O52" s="19">
        <f>SUM('MTRT 2012'!B32:M32)</f>
        <v>2376621.2600000002</v>
      </c>
      <c r="P52" s="22">
        <f t="shared" si="2"/>
        <v>6.7590710688163913E-2</v>
      </c>
      <c r="Q52" s="261"/>
    </row>
    <row r="53" spans="1:17">
      <c r="A53" s="261" t="s">
        <v>203</v>
      </c>
      <c r="B53" s="264">
        <v>16355.32</v>
      </c>
      <c r="C53" s="264">
        <v>34444.07</v>
      </c>
      <c r="D53" s="265">
        <v>40245.839999999997</v>
      </c>
      <c r="E53" s="262">
        <v>32168.37</v>
      </c>
      <c r="F53" s="262">
        <v>39826.83</v>
      </c>
      <c r="G53" s="262">
        <v>36166.25</v>
      </c>
      <c r="H53" s="262">
        <v>29242.080000000002</v>
      </c>
      <c r="I53" s="262">
        <v>34139.5</v>
      </c>
      <c r="J53" s="262">
        <v>46816.55</v>
      </c>
      <c r="K53" s="262">
        <v>35183.93</v>
      </c>
      <c r="L53" s="262">
        <v>29172.61</v>
      </c>
      <c r="M53" s="263">
        <v>25717.29</v>
      </c>
      <c r="N53" s="60">
        <f t="shared" si="0"/>
        <v>399478.63999999996</v>
      </c>
      <c r="O53" s="19">
        <f>SUM('MTRT 2012'!B33:M33)</f>
        <v>354621.4</v>
      </c>
      <c r="P53" s="22">
        <f t="shared" si="2"/>
        <v>0.12649332499392285</v>
      </c>
      <c r="Q53" s="261"/>
    </row>
    <row r="54" spans="1:17">
      <c r="A54" s="261" t="s">
        <v>204</v>
      </c>
      <c r="B54" s="264">
        <v>1841.2</v>
      </c>
      <c r="C54" s="264">
        <v>1751.31</v>
      </c>
      <c r="D54" s="265">
        <v>2727.64</v>
      </c>
      <c r="E54" s="262">
        <v>1575.44</v>
      </c>
      <c r="F54" s="262">
        <v>2839.13</v>
      </c>
      <c r="G54" s="262">
        <v>2180.59</v>
      </c>
      <c r="H54" s="262">
        <v>2229.14</v>
      </c>
      <c r="I54" s="262">
        <v>3211.43</v>
      </c>
      <c r="J54" s="262">
        <v>3388.34</v>
      </c>
      <c r="K54" s="262">
        <v>3242.62</v>
      </c>
      <c r="L54" s="262">
        <v>2877.96</v>
      </c>
      <c r="M54" s="263">
        <v>2582.81</v>
      </c>
      <c r="N54" s="60">
        <f t="shared" si="0"/>
        <v>30447.61</v>
      </c>
      <c r="O54" s="19">
        <f>SUM('MTRT 2012'!B34:M34)</f>
        <v>30885.899999999998</v>
      </c>
      <c r="P54" s="22">
        <f t="shared" si="2"/>
        <v>-1.4190617725240218E-2</v>
      </c>
      <c r="Q54" s="261" t="s">
        <v>204</v>
      </c>
    </row>
    <row r="55" spans="1:17" s="154" customFormat="1">
      <c r="A55" s="261" t="s">
        <v>205</v>
      </c>
      <c r="B55" s="262">
        <v>1990.18</v>
      </c>
      <c r="C55" s="262">
        <v>1780.39</v>
      </c>
      <c r="D55" s="265">
        <v>2474.38</v>
      </c>
      <c r="E55" s="262">
        <v>2125.15</v>
      </c>
      <c r="F55" s="262">
        <v>2652.73</v>
      </c>
      <c r="G55" s="262">
        <v>2367.09</v>
      </c>
      <c r="H55" s="262">
        <v>2478.2399999999998</v>
      </c>
      <c r="I55" s="262">
        <v>2613.48</v>
      </c>
      <c r="J55" s="262">
        <v>2772.61</v>
      </c>
      <c r="K55" s="262">
        <v>2935.37</v>
      </c>
      <c r="L55" s="262">
        <v>2671.65</v>
      </c>
      <c r="M55" s="263">
        <v>2518.9699999999998</v>
      </c>
      <c r="N55" s="60">
        <f t="shared" si="0"/>
        <v>29380.240000000002</v>
      </c>
      <c r="O55" s="19">
        <f>SUM('MTRT 2012'!B35:M35)</f>
        <v>26318.35</v>
      </c>
      <c r="P55" s="22">
        <f t="shared" si="2"/>
        <v>0.11634050006934338</v>
      </c>
      <c r="Q55" s="261" t="s">
        <v>205</v>
      </c>
    </row>
    <row r="56" spans="1:17" s="154" customFormat="1">
      <c r="A56" s="261" t="s">
        <v>206</v>
      </c>
      <c r="B56" s="262">
        <v>14848.91</v>
      </c>
      <c r="C56" s="262">
        <v>15695.24</v>
      </c>
      <c r="D56" s="265">
        <v>19595.53</v>
      </c>
      <c r="E56" s="262">
        <v>16103.62</v>
      </c>
      <c r="F56" s="262">
        <v>31908.85</v>
      </c>
      <c r="G56" s="262">
        <v>18853.14</v>
      </c>
      <c r="H56" s="262">
        <v>17427.349999999999</v>
      </c>
      <c r="I56" s="262">
        <v>36665.58</v>
      </c>
      <c r="J56" s="262">
        <v>24480.65</v>
      </c>
      <c r="K56" s="262">
        <v>23539.439999999999</v>
      </c>
      <c r="L56" s="262">
        <v>18517.86</v>
      </c>
      <c r="M56" s="263">
        <v>19802.330000000002</v>
      </c>
      <c r="N56" s="60">
        <f t="shared" si="0"/>
        <v>257438.5</v>
      </c>
      <c r="O56" s="19">
        <f>SUM('MTRT 2012'!B36:M36)</f>
        <v>227120.25</v>
      </c>
      <c r="P56" s="22">
        <f t="shared" si="2"/>
        <v>0.13348985834596427</v>
      </c>
      <c r="Q56" s="261" t="s">
        <v>206</v>
      </c>
    </row>
    <row r="57" spans="1:17" s="154" customFormat="1">
      <c r="A57" s="255" t="s">
        <v>207</v>
      </c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7"/>
      <c r="N57" s="258"/>
      <c r="O57" s="256"/>
      <c r="P57" s="259"/>
      <c r="Q57" s="260"/>
    </row>
    <row r="58" spans="1:17">
      <c r="A58" s="261" t="s">
        <v>208</v>
      </c>
      <c r="B58" s="264">
        <v>599.36</v>
      </c>
      <c r="C58" s="264">
        <v>1502.15</v>
      </c>
      <c r="D58" s="265">
        <v>169.62</v>
      </c>
      <c r="E58" s="262">
        <v>453.3</v>
      </c>
      <c r="F58" s="262">
        <v>3219.89</v>
      </c>
      <c r="G58" s="262">
        <v>1185.1199999999999</v>
      </c>
      <c r="H58" s="262">
        <v>2214.61</v>
      </c>
      <c r="I58" s="262">
        <v>4902.8</v>
      </c>
      <c r="J58" s="262">
        <v>1917.07</v>
      </c>
      <c r="K58" s="262">
        <v>2405.59</v>
      </c>
      <c r="L58" s="262">
        <v>5798.6</v>
      </c>
      <c r="M58" s="263">
        <v>1629.38</v>
      </c>
      <c r="N58" s="60">
        <f t="shared" si="0"/>
        <v>25997.49</v>
      </c>
      <c r="O58" s="19">
        <f>SUM('MTRT 2012'!B37:M37)</f>
        <v>21756.61</v>
      </c>
      <c r="P58" s="22">
        <f t="shared" si="2"/>
        <v>0.19492374960988879</v>
      </c>
      <c r="Q58" s="261" t="s">
        <v>208</v>
      </c>
    </row>
    <row r="59" spans="1:17">
      <c r="A59" s="261" t="s">
        <v>209</v>
      </c>
      <c r="B59" s="264">
        <v>860.44</v>
      </c>
      <c r="C59" s="264">
        <v>946.28</v>
      </c>
      <c r="D59" s="265">
        <v>15.44</v>
      </c>
      <c r="E59" s="262">
        <v>881.33</v>
      </c>
      <c r="F59" s="262">
        <v>1200.6600000000001</v>
      </c>
      <c r="G59" s="262">
        <v>1060.02</v>
      </c>
      <c r="H59" s="262">
        <v>2485.33</v>
      </c>
      <c r="I59" s="262">
        <v>2899.81</v>
      </c>
      <c r="J59" s="262">
        <v>2123.58</v>
      </c>
      <c r="K59" s="262">
        <v>2504.7199999999998</v>
      </c>
      <c r="L59" s="262">
        <v>4838.03</v>
      </c>
      <c r="M59" s="263">
        <v>667.13</v>
      </c>
      <c r="N59" s="60">
        <f t="shared" si="0"/>
        <v>20482.77</v>
      </c>
      <c r="O59" s="19">
        <f>SUM('MTRT 2012'!B38:M38)</f>
        <v>20080.87</v>
      </c>
      <c r="P59" s="22">
        <f t="shared" si="2"/>
        <v>2.0014073095438567E-2</v>
      </c>
      <c r="Q59" s="261" t="s">
        <v>209</v>
      </c>
    </row>
    <row r="60" spans="1:17" s="154" customFormat="1">
      <c r="A60" s="255" t="s">
        <v>210</v>
      </c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7"/>
      <c r="N60" s="258"/>
      <c r="O60" s="256"/>
      <c r="P60" s="259"/>
      <c r="Q60" s="260"/>
    </row>
    <row r="61" spans="1:17" s="154" customFormat="1">
      <c r="A61" s="255" t="s">
        <v>211</v>
      </c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7"/>
      <c r="N61" s="258"/>
      <c r="O61" s="256"/>
      <c r="P61" s="259"/>
      <c r="Q61" s="260"/>
    </row>
    <row r="62" spans="1:17">
      <c r="A62" s="261" t="s">
        <v>212</v>
      </c>
      <c r="B62" s="264">
        <v>3961.03</v>
      </c>
      <c r="C62" s="264">
        <v>4059.37</v>
      </c>
      <c r="D62" s="265">
        <v>3659.11</v>
      </c>
      <c r="E62" s="262">
        <v>4112.26</v>
      </c>
      <c r="F62" s="262">
        <v>5596.15</v>
      </c>
      <c r="G62" s="262">
        <v>4636</v>
      </c>
      <c r="H62" s="262">
        <v>7888.95</v>
      </c>
      <c r="I62" s="262">
        <v>9469.65</v>
      </c>
      <c r="J62" s="262">
        <v>9875.8700000000008</v>
      </c>
      <c r="K62" s="262">
        <v>8807.33</v>
      </c>
      <c r="L62" s="262">
        <v>9575.98</v>
      </c>
      <c r="M62" s="263">
        <v>5413.14</v>
      </c>
      <c r="N62" s="60">
        <f t="shared" si="0"/>
        <v>77054.84</v>
      </c>
      <c r="O62" s="19">
        <f>SUM('MTRT 2012'!B39:M39)</f>
        <v>70667.790000000008</v>
      </c>
      <c r="P62" s="22">
        <f t="shared" si="2"/>
        <v>9.0381346296523279E-2</v>
      </c>
      <c r="Q62" s="261" t="s">
        <v>212</v>
      </c>
    </row>
    <row r="63" spans="1:17">
      <c r="A63" s="261" t="s">
        <v>213</v>
      </c>
      <c r="B63" s="264">
        <v>511.51</v>
      </c>
      <c r="C63" s="264">
        <v>698.02</v>
      </c>
      <c r="D63" s="265">
        <v>707.3</v>
      </c>
      <c r="E63" s="262">
        <v>499.88</v>
      </c>
      <c r="F63" s="262">
        <v>929.01</v>
      </c>
      <c r="G63" s="262">
        <v>843.64</v>
      </c>
      <c r="H63" s="262">
        <v>1428.79</v>
      </c>
      <c r="I63" s="262">
        <v>1950.48</v>
      </c>
      <c r="J63" s="262">
        <v>1857.45</v>
      </c>
      <c r="K63" s="262">
        <v>1654.07</v>
      </c>
      <c r="L63" s="262">
        <v>1729.58</v>
      </c>
      <c r="M63" s="263">
        <v>11025.4</v>
      </c>
      <c r="N63" s="60">
        <f>SUM(B63:M63)</f>
        <v>23835.13</v>
      </c>
      <c r="O63" s="19">
        <f>SUM('MTRT 2012'!B40:M40)</f>
        <v>14711.633</v>
      </c>
      <c r="P63" s="22">
        <f t="shared" si="2"/>
        <v>0.62015528799556119</v>
      </c>
      <c r="Q63" s="261" t="s">
        <v>213</v>
      </c>
    </row>
    <row r="64" spans="1:17" s="154" customFormat="1">
      <c r="A64" s="255" t="s">
        <v>214</v>
      </c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7"/>
      <c r="N64" s="258"/>
      <c r="O64" s="256"/>
      <c r="P64" s="259"/>
      <c r="Q64" s="260"/>
    </row>
    <row r="65" spans="1:17" s="154" customFormat="1">
      <c r="A65" s="255" t="s">
        <v>215</v>
      </c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7"/>
      <c r="N65" s="258"/>
      <c r="O65" s="256"/>
      <c r="P65" s="259"/>
      <c r="Q65" s="260"/>
    </row>
    <row r="66" spans="1:17">
      <c r="A66" s="261" t="s">
        <v>216</v>
      </c>
      <c r="B66" s="264">
        <v>2810.2</v>
      </c>
      <c r="C66" s="264">
        <v>2293.59</v>
      </c>
      <c r="D66" s="265">
        <v>1267</v>
      </c>
      <c r="E66" s="262">
        <v>2124.39</v>
      </c>
      <c r="F66" s="262">
        <v>2517.94</v>
      </c>
      <c r="G66" s="262">
        <v>2927.22</v>
      </c>
      <c r="H66" s="262">
        <v>2642.86</v>
      </c>
      <c r="I66" s="262">
        <v>3111.71</v>
      </c>
      <c r="J66" s="262">
        <v>3359.41</v>
      </c>
      <c r="K66" s="262">
        <v>4173.5600000000004</v>
      </c>
      <c r="L66" s="262">
        <v>2292.33</v>
      </c>
      <c r="M66" s="263">
        <v>6652.75</v>
      </c>
      <c r="N66" s="60">
        <f t="shared" si="0"/>
        <v>36172.959999999999</v>
      </c>
      <c r="O66" s="19">
        <f>SUM('MTRT 2012'!B41:M41)</f>
        <v>45000.66</v>
      </c>
      <c r="P66" s="22">
        <f t="shared" si="2"/>
        <v>-0.19616823397701288</v>
      </c>
      <c r="Q66" s="261" t="s">
        <v>216</v>
      </c>
    </row>
    <row r="67" spans="1:17" s="154" customFormat="1">
      <c r="A67" s="255" t="s">
        <v>217</v>
      </c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7"/>
      <c r="N67" s="258"/>
      <c r="O67" s="256"/>
      <c r="P67" s="259"/>
      <c r="Q67" s="260"/>
    </row>
    <row r="68" spans="1:17">
      <c r="A68" s="261" t="s">
        <v>218</v>
      </c>
      <c r="B68" s="264">
        <v>941.22</v>
      </c>
      <c r="C68" s="264">
        <v>939.99</v>
      </c>
      <c r="D68" s="265">
        <v>1104.6099999999999</v>
      </c>
      <c r="E68" s="262">
        <v>961.39</v>
      </c>
      <c r="F68" s="262">
        <v>1093.46</v>
      </c>
      <c r="G68" s="262">
        <v>1127.3599999999999</v>
      </c>
      <c r="H68" s="262">
        <v>1362.95</v>
      </c>
      <c r="I68" s="262">
        <v>1568.55</v>
      </c>
      <c r="J68" s="262">
        <v>1520.4</v>
      </c>
      <c r="K68" s="262">
        <v>1574.42</v>
      </c>
      <c r="L68" s="262">
        <v>1298.99</v>
      </c>
      <c r="M68" s="263">
        <v>1487.64</v>
      </c>
      <c r="N68" s="60">
        <f t="shared" si="0"/>
        <v>14980.979999999998</v>
      </c>
      <c r="O68" s="19">
        <f>SUM('MTRT 2012'!B42:M42)</f>
        <v>15081.960000000001</v>
      </c>
      <c r="P68" s="22">
        <f t="shared" si="2"/>
        <v>-6.6954162456340782E-3</v>
      </c>
      <c r="Q68" s="261"/>
    </row>
    <row r="69" spans="1:17">
      <c r="A69" s="261" t="s">
        <v>219</v>
      </c>
      <c r="B69" s="264">
        <v>12721.42</v>
      </c>
      <c r="C69" s="264">
        <v>7840.68</v>
      </c>
      <c r="D69" s="265">
        <v>13343.54</v>
      </c>
      <c r="E69" s="262">
        <v>7851.3</v>
      </c>
      <c r="F69" s="262">
        <v>10195.07</v>
      </c>
      <c r="G69" s="262">
        <v>11473.47</v>
      </c>
      <c r="H69" s="262">
        <v>15398.44</v>
      </c>
      <c r="I69" s="262">
        <v>18243.95</v>
      </c>
      <c r="J69" s="262">
        <v>15823.94</v>
      </c>
      <c r="K69" s="262">
        <v>15242.74</v>
      </c>
      <c r="L69" s="262">
        <v>21710.54</v>
      </c>
      <c r="M69" s="263">
        <v>13758.05</v>
      </c>
      <c r="N69" s="60">
        <f t="shared" si="0"/>
        <v>163603.13999999998</v>
      </c>
      <c r="O69" s="19">
        <f>SUM('MTRT 2012'!B43:M43)</f>
        <v>182361.1</v>
      </c>
      <c r="P69" s="22">
        <f t="shared" si="2"/>
        <v>-0.1028616300296501</v>
      </c>
      <c r="Q69" s="261"/>
    </row>
    <row r="70" spans="1:17">
      <c r="A70" s="261" t="s">
        <v>220</v>
      </c>
      <c r="B70" s="268" t="s">
        <v>250</v>
      </c>
      <c r="C70" s="264">
        <v>0</v>
      </c>
      <c r="D70" s="265">
        <v>0</v>
      </c>
      <c r="E70" s="262">
        <v>0</v>
      </c>
      <c r="F70" s="262">
        <v>0</v>
      </c>
      <c r="G70" s="262">
        <v>673.79</v>
      </c>
      <c r="H70" s="262">
        <v>812.82</v>
      </c>
      <c r="I70" s="262">
        <v>6074.63</v>
      </c>
      <c r="J70" s="262">
        <v>1992.34</v>
      </c>
      <c r="K70" s="262">
        <v>1873.33</v>
      </c>
      <c r="L70" s="262">
        <v>5451.7</v>
      </c>
      <c r="M70" s="263">
        <v>2249.3000000000002</v>
      </c>
      <c r="N70" s="60"/>
      <c r="O70" s="269"/>
      <c r="P70" s="270"/>
      <c r="Q70" s="261"/>
    </row>
    <row r="71" spans="1:17" s="154" customFormat="1">
      <c r="A71" s="255" t="s">
        <v>221</v>
      </c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7"/>
      <c r="N71" s="258"/>
      <c r="O71" s="256"/>
      <c r="P71" s="259"/>
      <c r="Q71" s="260"/>
    </row>
    <row r="72" spans="1:17">
      <c r="A72" s="261" t="s">
        <v>222</v>
      </c>
      <c r="B72" s="264">
        <v>5061.63</v>
      </c>
      <c r="C72" s="264">
        <v>5940.54</v>
      </c>
      <c r="D72" s="265">
        <v>6079.36</v>
      </c>
      <c r="E72" s="262">
        <v>7199.29</v>
      </c>
      <c r="F72" s="262">
        <v>4733.97</v>
      </c>
      <c r="G72" s="262">
        <v>5816.94</v>
      </c>
      <c r="H72" s="262">
        <v>8522.09</v>
      </c>
      <c r="I72" s="262">
        <v>7131.05</v>
      </c>
      <c r="J72" s="262">
        <v>7442.69</v>
      </c>
      <c r="K72" s="262">
        <v>10086.879999999999</v>
      </c>
      <c r="L72" s="262">
        <v>7820.64</v>
      </c>
      <c r="M72" s="263">
        <v>5097.67</v>
      </c>
      <c r="N72" s="60">
        <f t="shared" si="0"/>
        <v>80932.750000000015</v>
      </c>
      <c r="O72" s="19">
        <f>SUM('MTRT 2012'!B44:M44)</f>
        <v>75348.320000000007</v>
      </c>
      <c r="P72" s="22">
        <f t="shared" si="2"/>
        <v>7.4114857504454124E-2</v>
      </c>
      <c r="Q72" s="261"/>
    </row>
    <row r="73" spans="1:17">
      <c r="A73" s="261" t="s">
        <v>223</v>
      </c>
      <c r="B73" s="264">
        <v>27.08</v>
      </c>
      <c r="C73" s="264">
        <v>0</v>
      </c>
      <c r="D73" s="265">
        <v>0</v>
      </c>
      <c r="E73" s="262">
        <v>0</v>
      </c>
      <c r="F73" s="262">
        <v>0</v>
      </c>
      <c r="G73" s="262">
        <v>41.56</v>
      </c>
      <c r="H73" s="262">
        <v>0</v>
      </c>
      <c r="I73" s="262">
        <v>0</v>
      </c>
      <c r="J73" s="262">
        <v>11.61</v>
      </c>
      <c r="K73" s="262">
        <v>0</v>
      </c>
      <c r="L73" s="262">
        <v>0</v>
      </c>
      <c r="M73" s="263">
        <v>0</v>
      </c>
      <c r="N73" s="60">
        <f t="shared" si="0"/>
        <v>80.25</v>
      </c>
      <c r="O73" s="19">
        <f>SUM('MTRT 2012'!B45:M45)</f>
        <v>364.89</v>
      </c>
      <c r="P73" s="22">
        <f t="shared" si="2"/>
        <v>-0.78007070624023678</v>
      </c>
      <c r="Q73" s="261"/>
    </row>
    <row r="74" spans="1:17">
      <c r="A74" s="261" t="s">
        <v>224</v>
      </c>
      <c r="B74" s="264">
        <v>8744.44</v>
      </c>
      <c r="C74" s="264">
        <v>4988.1899999999996</v>
      </c>
      <c r="D74" s="265">
        <v>6951.14</v>
      </c>
      <c r="E74" s="262">
        <v>7217.52</v>
      </c>
      <c r="F74" s="262">
        <v>8921.44</v>
      </c>
      <c r="G74" s="262">
        <v>9440.85</v>
      </c>
      <c r="H74" s="262">
        <v>10926.68</v>
      </c>
      <c r="I74" s="262">
        <v>12083.6</v>
      </c>
      <c r="J74" s="262">
        <v>13035.82</v>
      </c>
      <c r="K74" s="262">
        <v>12948.37</v>
      </c>
      <c r="L74" s="262">
        <v>10455.959999999999</v>
      </c>
      <c r="M74" s="263">
        <v>9667.3799999999992</v>
      </c>
      <c r="N74" s="60">
        <f t="shared" si="0"/>
        <v>115381.38999999998</v>
      </c>
      <c r="O74" s="19">
        <f>SUM('MTRT 2012'!B46:M46)</f>
        <v>105016.91</v>
      </c>
      <c r="P74" s="22">
        <f t="shared" si="2"/>
        <v>9.8693438989968296E-2</v>
      </c>
      <c r="Q74" s="261" t="s">
        <v>224</v>
      </c>
    </row>
    <row r="75" spans="1:17">
      <c r="A75" s="261" t="s">
        <v>225</v>
      </c>
      <c r="B75" s="264">
        <v>501.88</v>
      </c>
      <c r="C75" s="264">
        <v>454.02</v>
      </c>
      <c r="D75" s="265">
        <v>439.62</v>
      </c>
      <c r="E75" s="262">
        <v>433</v>
      </c>
      <c r="F75" s="262">
        <v>509.86</v>
      </c>
      <c r="G75" s="262">
        <v>506.89</v>
      </c>
      <c r="H75" s="262">
        <v>845.16</v>
      </c>
      <c r="I75" s="262">
        <v>894.31</v>
      </c>
      <c r="J75" s="262">
        <v>969.72</v>
      </c>
      <c r="K75" s="262">
        <v>910.7</v>
      </c>
      <c r="L75" s="262">
        <v>775.6</v>
      </c>
      <c r="M75" s="263">
        <v>892.84</v>
      </c>
      <c r="N75" s="60">
        <f t="shared" si="0"/>
        <v>8133.6</v>
      </c>
      <c r="O75" s="19">
        <f>SUM('MTRT 2012'!B47:M47)</f>
        <v>8302.0399999999991</v>
      </c>
      <c r="P75" s="22">
        <f t="shared" si="2"/>
        <v>-2.0288989212289832E-2</v>
      </c>
      <c r="Q75" s="261"/>
    </row>
    <row r="76" spans="1:17">
      <c r="A76" s="261" t="s">
        <v>226</v>
      </c>
      <c r="B76" s="264">
        <v>11369.86</v>
      </c>
      <c r="C76" s="264">
        <v>25938.47</v>
      </c>
      <c r="D76" s="265">
        <v>19500.349999999999</v>
      </c>
      <c r="E76" s="262">
        <v>25177.5</v>
      </c>
      <c r="F76" s="262">
        <v>28045.21</v>
      </c>
      <c r="G76" s="262">
        <v>26867.97</v>
      </c>
      <c r="H76" s="262">
        <v>30732.16</v>
      </c>
      <c r="I76" s="262">
        <v>43541.09</v>
      </c>
      <c r="J76" s="262">
        <v>34890.800000000003</v>
      </c>
      <c r="K76" s="262">
        <v>33816.870000000003</v>
      </c>
      <c r="L76" s="262">
        <v>35945.64</v>
      </c>
      <c r="M76" s="263">
        <v>32583.63</v>
      </c>
      <c r="N76" s="60">
        <f t="shared" si="0"/>
        <v>348409.55</v>
      </c>
      <c r="O76" s="19">
        <f>SUM('MTRT 2012'!B48:M48)</f>
        <v>311418.56</v>
      </c>
      <c r="P76" s="22">
        <f t="shared" si="2"/>
        <v>0.11878222672405903</v>
      </c>
      <c r="Q76" s="261"/>
    </row>
    <row r="77" spans="1:17">
      <c r="A77" s="261" t="s">
        <v>227</v>
      </c>
      <c r="B77" s="264">
        <v>1301.3800000000001</v>
      </c>
      <c r="C77" s="264">
        <v>1781.15</v>
      </c>
      <c r="D77" s="265">
        <v>1173.3499999999999</v>
      </c>
      <c r="E77" s="262">
        <v>2417.64</v>
      </c>
      <c r="F77" s="262">
        <v>1150.42</v>
      </c>
      <c r="G77" s="262">
        <v>2028.82</v>
      </c>
      <c r="H77" s="262">
        <v>4169.83</v>
      </c>
      <c r="I77" s="262">
        <v>4395.33</v>
      </c>
      <c r="J77" s="262">
        <v>3249.15</v>
      </c>
      <c r="K77" s="262">
        <v>2743.42</v>
      </c>
      <c r="L77" s="262">
        <v>3600.58</v>
      </c>
      <c r="M77" s="263">
        <v>2382.9499999999998</v>
      </c>
      <c r="N77" s="60">
        <f t="shared" si="0"/>
        <v>30394.02</v>
      </c>
      <c r="O77" s="19">
        <f>SUM('MTRT 2012'!B49:M49)</f>
        <v>25446.680000000004</v>
      </c>
      <c r="P77" s="22">
        <f t="shared" si="2"/>
        <v>0.19441986145147405</v>
      </c>
      <c r="Q77" s="261" t="s">
        <v>227</v>
      </c>
    </row>
    <row r="78" spans="1:17" s="154" customFormat="1">
      <c r="A78" s="255" t="s">
        <v>228</v>
      </c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7"/>
      <c r="N78" s="258"/>
      <c r="O78" s="256"/>
      <c r="P78" s="259"/>
      <c r="Q78" s="260"/>
    </row>
    <row r="79" spans="1:17">
      <c r="A79" s="261" t="s">
        <v>229</v>
      </c>
      <c r="B79" s="264">
        <v>1466.88</v>
      </c>
      <c r="C79" s="264">
        <v>2161.4699999999998</v>
      </c>
      <c r="D79" s="265">
        <v>1793.84</v>
      </c>
      <c r="E79" s="262">
        <v>1713.34</v>
      </c>
      <c r="F79" s="262">
        <v>2896.17</v>
      </c>
      <c r="G79" s="262">
        <v>826.33</v>
      </c>
      <c r="H79" s="262">
        <v>1802.11</v>
      </c>
      <c r="I79" s="262">
        <v>3885.22</v>
      </c>
      <c r="J79" s="262">
        <v>2117.39</v>
      </c>
      <c r="K79" s="262">
        <v>2813.49</v>
      </c>
      <c r="L79" s="262">
        <v>4372.8599999999997</v>
      </c>
      <c r="M79" s="263">
        <v>1581.33</v>
      </c>
      <c r="N79" s="60">
        <f t="shared" si="0"/>
        <v>27430.43</v>
      </c>
      <c r="O79" s="19">
        <f>SUM('MTRT 2012'!B50:M50)</f>
        <v>25329.59</v>
      </c>
      <c r="P79" s="22">
        <f t="shared" si="2"/>
        <v>8.2940150235357057E-2</v>
      </c>
      <c r="Q79" s="261" t="s">
        <v>229</v>
      </c>
    </row>
    <row r="80" spans="1:17">
      <c r="A80" s="261" t="s">
        <v>230</v>
      </c>
      <c r="B80" s="262">
        <v>2936.84</v>
      </c>
      <c r="C80" s="262">
        <v>4754.25</v>
      </c>
      <c r="D80" s="265">
        <v>6059.64</v>
      </c>
      <c r="E80" s="262">
        <v>3302.77</v>
      </c>
      <c r="F80" s="262">
        <v>5878.83</v>
      </c>
      <c r="G80" s="262">
        <v>2338.34</v>
      </c>
      <c r="H80" s="262">
        <v>3070.27</v>
      </c>
      <c r="I80" s="262">
        <v>8293.7199999999993</v>
      </c>
      <c r="J80" s="262">
        <v>7250.92</v>
      </c>
      <c r="K80" s="262">
        <v>8227.15</v>
      </c>
      <c r="L80" s="262">
        <v>6071.1</v>
      </c>
      <c r="M80" s="263">
        <v>4483.4799999999996</v>
      </c>
      <c r="N80" s="60">
        <f t="shared" si="0"/>
        <v>62667.31</v>
      </c>
      <c r="O80" s="19">
        <f>SUM('MTRT 2012'!B51:M51)</f>
        <v>54598.779999999992</v>
      </c>
      <c r="P80" s="22">
        <f t="shared" si="2"/>
        <v>0.14777857673742911</v>
      </c>
      <c r="Q80" s="261" t="s">
        <v>230</v>
      </c>
    </row>
    <row r="81" spans="1:17" s="154" customFormat="1">
      <c r="A81" s="255" t="s">
        <v>231</v>
      </c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7"/>
      <c r="N81" s="258"/>
      <c r="O81" s="256"/>
      <c r="P81" s="259"/>
      <c r="Q81" s="260"/>
    </row>
    <row r="82" spans="1:17">
      <c r="A82" s="261" t="s">
        <v>232</v>
      </c>
      <c r="B82" s="262">
        <v>1223.55</v>
      </c>
      <c r="C82" s="262">
        <v>2734.78</v>
      </c>
      <c r="D82" s="265">
        <v>1321.21</v>
      </c>
      <c r="E82" s="262">
        <v>3666.61</v>
      </c>
      <c r="F82" s="262">
        <v>8129.68</v>
      </c>
      <c r="G82" s="262">
        <v>4921.55</v>
      </c>
      <c r="H82" s="262">
        <v>5467.72</v>
      </c>
      <c r="I82" s="262">
        <v>9470.83</v>
      </c>
      <c r="J82" s="262">
        <v>3755.34</v>
      </c>
      <c r="K82" s="262">
        <v>3408.68</v>
      </c>
      <c r="L82" s="262">
        <v>11160.83</v>
      </c>
      <c r="M82" s="263">
        <v>3612.31</v>
      </c>
      <c r="N82" s="60">
        <f t="shared" si="0"/>
        <v>58873.090000000004</v>
      </c>
      <c r="O82" s="19">
        <f>SUM('MTRT 2012'!B52:M52)</f>
        <v>37904.659999999996</v>
      </c>
      <c r="P82" s="22">
        <f t="shared" si="2"/>
        <v>0.5531887108339717</v>
      </c>
      <c r="Q82" s="261" t="s">
        <v>232</v>
      </c>
    </row>
    <row r="83" spans="1:17">
      <c r="A83" s="261" t="s">
        <v>233</v>
      </c>
      <c r="B83" s="264">
        <v>5227.71</v>
      </c>
      <c r="C83" s="264">
        <v>4248.79</v>
      </c>
      <c r="D83" s="265">
        <v>3979.19</v>
      </c>
      <c r="E83" s="262">
        <v>4195.9399999999996</v>
      </c>
      <c r="F83" s="262">
        <v>7694.83</v>
      </c>
      <c r="G83" s="262">
        <v>10409.02</v>
      </c>
      <c r="H83" s="262">
        <v>9523.2099999999991</v>
      </c>
      <c r="I83" s="262">
        <v>6794.11</v>
      </c>
      <c r="J83" s="262">
        <v>5391.61</v>
      </c>
      <c r="K83" s="262">
        <v>4815.6899999999996</v>
      </c>
      <c r="L83" s="262">
        <v>8482.48</v>
      </c>
      <c r="M83" s="263">
        <v>12190.07</v>
      </c>
      <c r="N83" s="60">
        <f t="shared" si="0"/>
        <v>82952.649999999994</v>
      </c>
      <c r="O83" s="19">
        <f>SUM('MTRT 2012'!B53:M53)</f>
        <v>80350.050000000017</v>
      </c>
      <c r="P83" s="22">
        <f t="shared" si="2"/>
        <v>3.2390770136421443E-2</v>
      </c>
      <c r="Q83" s="261" t="s">
        <v>233</v>
      </c>
    </row>
    <row r="84" spans="1:17">
      <c r="A84" s="261" t="s">
        <v>234</v>
      </c>
      <c r="B84" s="264">
        <v>78.02</v>
      </c>
      <c r="C84" s="264">
        <v>0</v>
      </c>
      <c r="D84" s="265">
        <v>0</v>
      </c>
      <c r="E84" s="262">
        <v>0</v>
      </c>
      <c r="F84" s="262">
        <v>35.22</v>
      </c>
      <c r="G84" s="262">
        <v>0</v>
      </c>
      <c r="H84" s="262">
        <v>94.54</v>
      </c>
      <c r="I84" s="262">
        <v>0</v>
      </c>
      <c r="J84" s="262">
        <v>0</v>
      </c>
      <c r="K84" s="262">
        <v>0</v>
      </c>
      <c r="L84" s="262">
        <v>101.78</v>
      </c>
      <c r="M84" s="263">
        <v>0</v>
      </c>
      <c r="N84" s="60">
        <f t="shared" si="0"/>
        <v>309.56</v>
      </c>
      <c r="O84" s="269"/>
      <c r="P84" s="270"/>
      <c r="Q84" s="261"/>
    </row>
    <row r="85" spans="1:17">
      <c r="A85" s="261" t="s">
        <v>235</v>
      </c>
      <c r="B85" s="264">
        <v>0</v>
      </c>
      <c r="C85" s="264">
        <v>284.60000000000002</v>
      </c>
      <c r="D85" s="265">
        <v>9.5500000000000007</v>
      </c>
      <c r="E85" s="262">
        <v>0</v>
      </c>
      <c r="F85" s="262">
        <v>98.19</v>
      </c>
      <c r="G85" s="262">
        <v>0</v>
      </c>
      <c r="H85" s="262">
        <v>108.54</v>
      </c>
      <c r="I85" s="262">
        <v>555.39</v>
      </c>
      <c r="J85" s="262">
        <v>0</v>
      </c>
      <c r="K85" s="262">
        <v>0</v>
      </c>
      <c r="L85" s="262">
        <v>499.57</v>
      </c>
      <c r="M85" s="263">
        <v>0</v>
      </c>
      <c r="N85" s="60">
        <f t="shared" si="0"/>
        <v>1555.84</v>
      </c>
      <c r="O85" s="19">
        <f>SUM('MTRT 2012'!B55:M55)</f>
        <v>1611.18</v>
      </c>
      <c r="P85" s="22">
        <f t="shared" si="2"/>
        <v>-3.4347496865651306E-2</v>
      </c>
      <c r="Q85" s="261"/>
    </row>
    <row r="86" spans="1:17">
      <c r="A86" s="261" t="s">
        <v>236</v>
      </c>
      <c r="B86" s="262">
        <v>25810.82</v>
      </c>
      <c r="C86" s="262">
        <v>31228.959999999999</v>
      </c>
      <c r="D86" s="265">
        <v>25493.88</v>
      </c>
      <c r="E86" s="262">
        <v>32262.11</v>
      </c>
      <c r="F86" s="262">
        <v>59134.53</v>
      </c>
      <c r="G86" s="262">
        <v>47778.2</v>
      </c>
      <c r="H86" s="262">
        <v>40943.629999999997</v>
      </c>
      <c r="I86" s="262">
        <v>55137.87</v>
      </c>
      <c r="J86" s="262">
        <v>38280.25</v>
      </c>
      <c r="K86" s="262">
        <v>34919.980000000003</v>
      </c>
      <c r="L86" s="262">
        <v>51895.26</v>
      </c>
      <c r="M86" s="263">
        <v>46249.35</v>
      </c>
      <c r="N86" s="60">
        <f t="shared" si="0"/>
        <v>489134.83999999997</v>
      </c>
      <c r="O86" s="19">
        <f>SUM('MTRT 2012'!B56:M56)</f>
        <v>458006.81</v>
      </c>
      <c r="P86" s="22">
        <f t="shared" si="2"/>
        <v>6.7964120446156517E-2</v>
      </c>
      <c r="Q86" s="261" t="s">
        <v>236</v>
      </c>
    </row>
    <row r="87" spans="1:17">
      <c r="A87" s="261" t="s">
        <v>237</v>
      </c>
      <c r="B87" s="262">
        <v>0</v>
      </c>
      <c r="C87" s="262">
        <v>112.57</v>
      </c>
      <c r="D87" s="265">
        <v>0</v>
      </c>
      <c r="E87" s="262">
        <v>29.24</v>
      </c>
      <c r="F87" s="262">
        <v>144.56</v>
      </c>
      <c r="G87" s="262">
        <v>0</v>
      </c>
      <c r="H87" s="262">
        <v>67.459999999999994</v>
      </c>
      <c r="I87" s="262">
        <v>154.63999999999999</v>
      </c>
      <c r="J87" s="262">
        <v>32.24</v>
      </c>
      <c r="K87" s="262">
        <v>0</v>
      </c>
      <c r="L87" s="262">
        <v>117</v>
      </c>
      <c r="M87" s="263">
        <v>0</v>
      </c>
      <c r="N87" s="60">
        <f t="shared" si="0"/>
        <v>657.70999999999992</v>
      </c>
      <c r="O87" s="19">
        <f>SUM('MTRT 2012'!B57:M57)</f>
        <v>1111.02</v>
      </c>
      <c r="P87" s="22">
        <f t="shared" si="2"/>
        <v>-0.40801245702147582</v>
      </c>
      <c r="Q87" s="261" t="s">
        <v>237</v>
      </c>
    </row>
    <row r="88" spans="1:17">
      <c r="A88" s="261" t="s">
        <v>238</v>
      </c>
      <c r="B88" s="262">
        <v>12355.98</v>
      </c>
      <c r="C88" s="262">
        <v>6285.7</v>
      </c>
      <c r="D88" s="265">
        <v>2459.63</v>
      </c>
      <c r="E88" s="262">
        <v>6745.31</v>
      </c>
      <c r="F88" s="262">
        <v>21646.23</v>
      </c>
      <c r="G88" s="262">
        <v>18367.5</v>
      </c>
      <c r="H88" s="262">
        <v>39443.11</v>
      </c>
      <c r="I88" s="262">
        <v>29232.7</v>
      </c>
      <c r="J88" s="262">
        <v>31662.06</v>
      </c>
      <c r="K88" s="271">
        <v>48850.22</v>
      </c>
      <c r="L88" s="262">
        <v>30018.17</v>
      </c>
      <c r="M88" s="263">
        <v>22037.09</v>
      </c>
      <c r="N88" s="60">
        <f t="shared" si="0"/>
        <v>269103.7</v>
      </c>
      <c r="O88" s="19">
        <f>SUM('MTRT 2012'!B58:M58)</f>
        <v>224600.2</v>
      </c>
      <c r="P88" s="22">
        <f t="shared" si="2"/>
        <v>0.19814541572091215</v>
      </c>
      <c r="Q88" s="261" t="s">
        <v>238</v>
      </c>
    </row>
    <row r="89" spans="1:17">
      <c r="A89" s="261" t="s">
        <v>239</v>
      </c>
      <c r="B89" s="262">
        <v>0</v>
      </c>
      <c r="C89" s="262">
        <v>0</v>
      </c>
      <c r="D89" s="265">
        <v>0</v>
      </c>
      <c r="E89" s="262">
        <v>0</v>
      </c>
      <c r="F89" s="262">
        <v>0</v>
      </c>
      <c r="G89" s="262">
        <v>0</v>
      </c>
      <c r="H89" s="262">
        <v>0</v>
      </c>
      <c r="I89" s="262">
        <v>0</v>
      </c>
      <c r="J89" s="262">
        <v>0</v>
      </c>
      <c r="K89" s="262">
        <v>0</v>
      </c>
      <c r="L89" s="262">
        <v>0</v>
      </c>
      <c r="M89" s="263">
        <v>0</v>
      </c>
      <c r="N89" s="60">
        <f t="shared" si="0"/>
        <v>0</v>
      </c>
      <c r="O89" s="19">
        <f>SUM('MTRT 2012'!B59:M59)</f>
        <v>0</v>
      </c>
      <c r="P89" s="22"/>
      <c r="Q89" s="261"/>
    </row>
    <row r="90" spans="1:17">
      <c r="A90" s="261" t="s">
        <v>240</v>
      </c>
      <c r="B90" s="262">
        <v>0</v>
      </c>
      <c r="C90" s="262">
        <v>66.290000000000006</v>
      </c>
      <c r="D90" s="265">
        <v>223.82</v>
      </c>
      <c r="E90" s="262">
        <v>0</v>
      </c>
      <c r="F90" s="262">
        <v>188.66</v>
      </c>
      <c r="G90" s="262">
        <v>1649.79</v>
      </c>
      <c r="H90" s="262">
        <v>1121.56</v>
      </c>
      <c r="I90" s="262">
        <v>1528.09</v>
      </c>
      <c r="J90" s="262">
        <v>1059.21</v>
      </c>
      <c r="K90" s="262">
        <v>774.96</v>
      </c>
      <c r="L90" s="262">
        <v>2090.04</v>
      </c>
      <c r="M90" s="263">
        <v>304.10000000000002</v>
      </c>
      <c r="N90" s="60">
        <f t="shared" si="0"/>
        <v>9006.52</v>
      </c>
      <c r="O90" s="19">
        <f>SUM('MTRT 2012'!B60:M60)</f>
        <v>8936.24</v>
      </c>
      <c r="P90" s="22">
        <f t="shared" si="2"/>
        <v>7.8646052478448247E-3</v>
      </c>
      <c r="Q90" s="261" t="s">
        <v>240</v>
      </c>
    </row>
    <row r="91" spans="1:17" s="154" customFormat="1">
      <c r="A91" s="255" t="s">
        <v>241</v>
      </c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7"/>
      <c r="N91" s="258"/>
      <c r="O91" s="256"/>
      <c r="P91" s="259"/>
      <c r="Q91" s="260"/>
    </row>
    <row r="92" spans="1:17">
      <c r="A92" s="261" t="s">
        <v>242</v>
      </c>
      <c r="B92" s="262">
        <v>195.63</v>
      </c>
      <c r="C92" s="262">
        <v>192.78</v>
      </c>
      <c r="D92" s="265">
        <v>62.47</v>
      </c>
      <c r="E92" s="262">
        <v>90.09</v>
      </c>
      <c r="F92" s="262">
        <v>299.36</v>
      </c>
      <c r="G92" s="262">
        <v>412.21</v>
      </c>
      <c r="H92" s="262">
        <v>972.85</v>
      </c>
      <c r="I92" s="262">
        <v>220.62</v>
      </c>
      <c r="J92" s="262">
        <v>656.12</v>
      </c>
      <c r="K92" s="262">
        <v>440.5</v>
      </c>
      <c r="L92" s="262">
        <v>819.33</v>
      </c>
      <c r="M92" s="263">
        <v>528.12</v>
      </c>
      <c r="N92" s="60">
        <f t="shared" si="0"/>
        <v>4890.08</v>
      </c>
      <c r="O92" s="19">
        <f>SUM('MTRT 2012'!B61:M61)</f>
        <v>4960.1499999999996</v>
      </c>
      <c r="P92" s="22">
        <f t="shared" si="2"/>
        <v>-1.4126588913641713E-2</v>
      </c>
      <c r="Q92" s="267" t="s">
        <v>242</v>
      </c>
    </row>
    <row r="93" spans="1:17" s="154" customFormat="1">
      <c r="A93" s="255" t="s">
        <v>243</v>
      </c>
      <c r="B93" s="256"/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7"/>
      <c r="N93" s="258"/>
      <c r="O93" s="256"/>
      <c r="P93" s="259"/>
      <c r="Q93" s="260"/>
    </row>
    <row r="94" spans="1:17">
      <c r="A94" s="261" t="s">
        <v>244</v>
      </c>
      <c r="B94" s="264">
        <v>2343.2199999999998</v>
      </c>
      <c r="C94" s="264">
        <v>341.19</v>
      </c>
      <c r="D94" s="265">
        <v>1255.46</v>
      </c>
      <c r="E94" s="262">
        <v>1397.39</v>
      </c>
      <c r="F94" s="262">
        <v>1805.5</v>
      </c>
      <c r="G94" s="262">
        <v>2141.7800000000002</v>
      </c>
      <c r="H94" s="262">
        <v>2110.2600000000002</v>
      </c>
      <c r="I94" s="262">
        <v>2501.3000000000002</v>
      </c>
      <c r="J94" s="262">
        <v>2875.59</v>
      </c>
      <c r="K94" s="262">
        <v>2993.53</v>
      </c>
      <c r="L94" s="262">
        <v>2431.36</v>
      </c>
      <c r="M94" s="263">
        <v>2158.85</v>
      </c>
      <c r="N94" s="60">
        <f t="shared" si="0"/>
        <v>24355.43</v>
      </c>
      <c r="O94" s="19">
        <f>SUM('MTRT 2012'!B62:M62)</f>
        <v>23726.020000000004</v>
      </c>
      <c r="P94" s="22">
        <f t="shared" si="2"/>
        <v>2.6528258848302233E-2</v>
      </c>
      <c r="Q94" s="267" t="s">
        <v>244</v>
      </c>
    </row>
    <row r="95" spans="1:17">
      <c r="A95" s="261" t="s">
        <v>245</v>
      </c>
      <c r="B95" s="264">
        <v>7593.3</v>
      </c>
      <c r="C95" s="264">
        <v>6616.96</v>
      </c>
      <c r="D95" s="265">
        <v>8159</v>
      </c>
      <c r="E95" s="262">
        <v>9077.15</v>
      </c>
      <c r="F95" s="262">
        <v>12296.12</v>
      </c>
      <c r="G95" s="262">
        <v>9414.19</v>
      </c>
      <c r="H95" s="262">
        <v>7448.31</v>
      </c>
      <c r="I95" s="262">
        <v>12936.51</v>
      </c>
      <c r="J95" s="262">
        <v>11257</v>
      </c>
      <c r="K95" s="262">
        <v>10789.54</v>
      </c>
      <c r="L95" s="262">
        <v>9904.6200000000008</v>
      </c>
      <c r="M95" s="263">
        <v>8295.33</v>
      </c>
      <c r="N95" s="60">
        <f t="shared" si="0"/>
        <v>113788.03000000001</v>
      </c>
      <c r="O95" s="19">
        <f>SUM('MTRT 2012'!B63:M63)</f>
        <v>115716.69</v>
      </c>
      <c r="P95" s="22">
        <f t="shared" si="2"/>
        <v>-1.6667085793760528E-2</v>
      </c>
      <c r="Q95" s="267" t="s">
        <v>245</v>
      </c>
    </row>
    <row r="96" spans="1:17">
      <c r="A96" s="261" t="s">
        <v>246</v>
      </c>
      <c r="B96" s="264">
        <v>0</v>
      </c>
      <c r="C96" s="264">
        <v>653.92999999999995</v>
      </c>
      <c r="D96" s="265">
        <v>327.56</v>
      </c>
      <c r="E96" s="262">
        <v>555.09</v>
      </c>
      <c r="F96" s="262">
        <v>1447</v>
      </c>
      <c r="G96" s="262">
        <v>731.8</v>
      </c>
      <c r="H96" s="262">
        <v>836.04</v>
      </c>
      <c r="I96" s="262">
        <v>1060.55</v>
      </c>
      <c r="J96" s="262">
        <v>1069.8</v>
      </c>
      <c r="K96" s="262">
        <v>1065.83</v>
      </c>
      <c r="L96" s="262">
        <v>729.46</v>
      </c>
      <c r="M96" s="263">
        <v>705.04</v>
      </c>
      <c r="N96" s="60">
        <f t="shared" si="0"/>
        <v>9182.1000000000022</v>
      </c>
      <c r="O96" s="19">
        <f>SUM('MTRT 2012'!B64:M64)</f>
        <v>8981.7199999999993</v>
      </c>
      <c r="P96" s="22">
        <f t="shared" si="2"/>
        <v>2.2309758041889838E-2</v>
      </c>
      <c r="Q96" s="267" t="s">
        <v>246</v>
      </c>
    </row>
    <row r="97" spans="1:17">
      <c r="A97" s="261" t="s">
        <v>247</v>
      </c>
      <c r="B97" s="264">
        <v>0</v>
      </c>
      <c r="C97" s="264">
        <v>462.4</v>
      </c>
      <c r="D97" s="265">
        <v>914.51</v>
      </c>
      <c r="E97" s="262">
        <v>0</v>
      </c>
      <c r="F97" s="262">
        <v>603.73</v>
      </c>
      <c r="G97" s="262">
        <v>609.26</v>
      </c>
      <c r="H97" s="262">
        <v>1572.46</v>
      </c>
      <c r="I97" s="262">
        <v>0</v>
      </c>
      <c r="J97" s="262">
        <v>879.77</v>
      </c>
      <c r="K97" s="262">
        <v>990.05</v>
      </c>
      <c r="L97" s="262">
        <v>1428.65</v>
      </c>
      <c r="M97" s="263">
        <v>0</v>
      </c>
      <c r="N97" s="60">
        <f t="shared" si="0"/>
        <v>7460.83</v>
      </c>
      <c r="O97" s="19">
        <f>SUM('MTRT 2012'!B65:M65)</f>
        <v>9068.58</v>
      </c>
      <c r="P97" s="22">
        <f t="shared" si="2"/>
        <v>-0.17728795467427094</v>
      </c>
      <c r="Q97" s="267"/>
    </row>
    <row r="98" spans="1:17">
      <c r="A98" s="261" t="s">
        <v>248</v>
      </c>
      <c r="B98" s="264">
        <v>2714.79</v>
      </c>
      <c r="C98" s="264">
        <v>3669.26</v>
      </c>
      <c r="D98" s="265">
        <v>2692.54</v>
      </c>
      <c r="E98" s="262">
        <v>2764.78</v>
      </c>
      <c r="F98" s="262">
        <v>5302.59</v>
      </c>
      <c r="G98" s="262">
        <v>4080.72</v>
      </c>
      <c r="H98" s="262">
        <v>4321.0600000000004</v>
      </c>
      <c r="I98" s="262">
        <v>7196.46</v>
      </c>
      <c r="J98" s="262">
        <v>5864.45</v>
      </c>
      <c r="K98" s="262">
        <v>5117.6000000000004</v>
      </c>
      <c r="L98" s="262">
        <v>5234.3999999999996</v>
      </c>
      <c r="M98" s="263">
        <v>3880.64</v>
      </c>
      <c r="N98" s="60">
        <f t="shared" si="0"/>
        <v>52839.29</v>
      </c>
      <c r="O98" s="19">
        <f>SUM('MTRT 2012'!B66:M66)</f>
        <v>55499.969999999994</v>
      </c>
      <c r="P98" s="22">
        <f t="shared" si="2"/>
        <v>-4.7940206093805005E-2</v>
      </c>
      <c r="Q98" s="267" t="s">
        <v>248</v>
      </c>
    </row>
    <row r="99" spans="1:17" ht="13" thickBot="1">
      <c r="A99" s="369" t="s">
        <v>54</v>
      </c>
      <c r="B99" s="368">
        <f>SUM(B5:B98)</f>
        <v>405364.02999999997</v>
      </c>
      <c r="C99" s="368">
        <f t="shared" ref="C99:N99" si="3">SUM(C5:C98)</f>
        <v>411614.70000000019</v>
      </c>
      <c r="D99" s="368">
        <f t="shared" si="3"/>
        <v>493475.00999999995</v>
      </c>
      <c r="E99" s="368">
        <f t="shared" si="3"/>
        <v>416013.87000000017</v>
      </c>
      <c r="F99" s="368">
        <f t="shared" si="3"/>
        <v>658005.65</v>
      </c>
      <c r="G99" s="368">
        <f t="shared" si="3"/>
        <v>611517.75</v>
      </c>
      <c r="H99" s="368">
        <f t="shared" si="3"/>
        <v>637091.6100000001</v>
      </c>
      <c r="I99" s="368">
        <f t="shared" si="3"/>
        <v>781688.08</v>
      </c>
      <c r="J99" s="368">
        <f t="shared" si="3"/>
        <v>723554.48</v>
      </c>
      <c r="K99" s="368">
        <f t="shared" si="3"/>
        <v>717563.19</v>
      </c>
      <c r="L99" s="368">
        <f t="shared" si="3"/>
        <v>789305.7899999998</v>
      </c>
      <c r="M99" s="368">
        <f t="shared" si="3"/>
        <v>653406.68999999971</v>
      </c>
      <c r="N99" s="368">
        <f t="shared" si="3"/>
        <v>7279472.9399999967</v>
      </c>
      <c r="O99" s="368">
        <f>SUM(O5:O98)</f>
        <v>6729398.5630000001</v>
      </c>
      <c r="P99" s="370">
        <f>N99/O99-1</f>
        <v>8.1741982117755629E-2</v>
      </c>
      <c r="Q99" s="275"/>
    </row>
    <row r="100" spans="1:17">
      <c r="A100" s="276"/>
      <c r="B100" s="28">
        <f>B99/'MTRT 2012'!B67-1</f>
        <v>0.18577777717453303</v>
      </c>
      <c r="C100" s="28">
        <f>C99/'MTRT 2012'!C67-1</f>
        <v>9.6432042939817775E-2</v>
      </c>
      <c r="D100" s="28">
        <f>D99/'MTRT 2012'!D67-1</f>
        <v>0.20081731254036983</v>
      </c>
      <c r="E100" s="28">
        <f>E99/'MTRT 2012'!E67-1</f>
        <v>-5.9673439542238693E-2</v>
      </c>
      <c r="F100" s="28">
        <f>F99/'MTRT 2012'!F67-1</f>
        <v>2.3015283048563262E-2</v>
      </c>
      <c r="G100" s="28">
        <f>G99/'MTRT 2012'!G67-1</f>
        <v>0.12164486141072217</v>
      </c>
      <c r="H100" s="28">
        <f>H99/'MTRT 2012'!H67-1</f>
        <v>1.2245487650959008E-2</v>
      </c>
      <c r="I100" s="28">
        <f>I99/'MTRT 2012'!I67-1</f>
        <v>-6.8861306884350215E-3</v>
      </c>
      <c r="J100" s="28">
        <f>J99/'MTRT 2012'!J67-1</f>
        <v>0.25327013054956327</v>
      </c>
      <c r="K100" s="28">
        <f>K99/'MTRT 2012'!K67-1</f>
        <v>3.0446843253857825E-2</v>
      </c>
      <c r="L100" s="28">
        <f>L99/'MTRT 2012'!L67-1</f>
        <v>0.10157390071951355</v>
      </c>
      <c r="M100" s="28">
        <f>M99/'MTRT 2012'!M67-1</f>
        <v>0.15743285084961722</v>
      </c>
      <c r="N100" s="277"/>
      <c r="O100" s="1"/>
      <c r="P100" s="1"/>
      <c r="Q100" s="278"/>
    </row>
    <row r="101" spans="1:17" s="236" customFormat="1">
      <c r="A101" s="242"/>
      <c r="C101" s="243"/>
      <c r="D101" s="243"/>
      <c r="F101" s="244"/>
      <c r="M101" s="244"/>
    </row>
    <row r="102" spans="1:17">
      <c r="A102" s="208"/>
      <c r="G102" s="117"/>
      <c r="H102" s="117"/>
      <c r="M102" s="245"/>
    </row>
    <row r="103" spans="1:17">
      <c r="A103" s="208"/>
      <c r="G103" s="117"/>
      <c r="H103" s="117"/>
      <c r="I103" s="100"/>
    </row>
    <row r="104" spans="1:17">
      <c r="A104" s="246"/>
      <c r="B104" s="247"/>
      <c r="P104" s="228"/>
    </row>
    <row r="105" spans="1:17">
      <c r="A105" s="246"/>
      <c r="B105" s="247" t="s">
        <v>134</v>
      </c>
      <c r="C105" s="247" t="s">
        <v>135</v>
      </c>
      <c r="D105" s="247" t="s">
        <v>141</v>
      </c>
      <c r="E105" s="247" t="s">
        <v>142</v>
      </c>
      <c r="F105" s="247" t="s">
        <v>143</v>
      </c>
      <c r="G105" s="247" t="s">
        <v>144</v>
      </c>
      <c r="H105" s="247" t="s">
        <v>145</v>
      </c>
      <c r="I105" s="247" t="s">
        <v>146</v>
      </c>
      <c r="J105" s="247" t="s">
        <v>130</v>
      </c>
      <c r="K105" s="247" t="s">
        <v>131</v>
      </c>
      <c r="L105" s="247" t="s">
        <v>132</v>
      </c>
      <c r="M105" s="247" t="s">
        <v>133</v>
      </c>
      <c r="P105" s="248"/>
    </row>
    <row r="106" spans="1:17">
      <c r="A106" s="208"/>
      <c r="F106" s="243"/>
      <c r="P106" s="248"/>
    </row>
    <row r="107" spans="1:17">
      <c r="F107" s="243"/>
    </row>
    <row r="108" spans="1:17">
      <c r="L108" s="249"/>
    </row>
    <row r="109" spans="1:17">
      <c r="L109" s="118"/>
    </row>
    <row r="110" spans="1:17">
      <c r="L110" s="227"/>
    </row>
    <row r="120" spans="1:1">
      <c r="A120" s="249"/>
    </row>
  </sheetData>
  <mergeCells count="1">
    <mergeCell ref="A1:P1"/>
  </mergeCells>
  <printOptions horizontalCentered="1"/>
  <pageMargins left="0" right="0" top="0" bottom="0.25" header="0" footer="0"/>
  <pageSetup scale="85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 enableFormatConditionsCalculation="0">
    <tabColor rgb="FF00B050"/>
  </sheetPr>
  <dimension ref="A1:Q78"/>
  <sheetViews>
    <sheetView workbookViewId="0">
      <pane xSplit="1" ySplit="1" topLeftCell="F38" activePane="bottomRight" state="frozen"/>
      <selection activeCell="J52" sqref="J52"/>
      <selection pane="topRight" activeCell="J52" sqref="J52"/>
      <selection pane="bottomLeft" activeCell="J52" sqref="J52"/>
      <selection pane="bottomRight" activeCell="C7" sqref="C7"/>
    </sheetView>
  </sheetViews>
  <sheetFormatPr baseColWidth="10" defaultColWidth="8.83203125" defaultRowHeight="12" x14ac:dyDescent="0"/>
  <cols>
    <col min="1" max="1" width="12.5" customWidth="1"/>
    <col min="11" max="11" width="9.5" bestFit="1" customWidth="1"/>
    <col min="12" max="12" width="9.1640625" customWidth="1"/>
    <col min="13" max="13" width="8.83203125" style="48"/>
    <col min="17" max="17" width="12.83203125" hidden="1" customWidth="1"/>
  </cols>
  <sheetData>
    <row r="1" spans="1:17" ht="23">
      <c r="A1" s="711" t="s">
        <v>251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</row>
    <row r="2" spans="1:17" ht="13" thickBot="1">
      <c r="Q2" s="238"/>
    </row>
    <row r="3" spans="1:17" ht="13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252" t="s">
        <v>13</v>
      </c>
      <c r="N3" s="52" t="s">
        <v>119</v>
      </c>
      <c r="O3" s="251" t="s">
        <v>112</v>
      </c>
      <c r="P3" s="253" t="s">
        <v>16</v>
      </c>
      <c r="Q3" s="254"/>
    </row>
    <row r="4" spans="1:17" s="222" customFormat="1">
      <c r="A4" s="261" t="s">
        <v>154</v>
      </c>
      <c r="B4" s="262">
        <v>378.71</v>
      </c>
      <c r="C4" s="262">
        <v>512.01</v>
      </c>
      <c r="D4" s="262">
        <v>318.29000000000002</v>
      </c>
      <c r="E4" s="262">
        <v>338.81</v>
      </c>
      <c r="F4" s="262">
        <v>403.87</v>
      </c>
      <c r="G4" s="262">
        <v>231.39</v>
      </c>
      <c r="H4" s="262">
        <v>261.52</v>
      </c>
      <c r="I4" s="262">
        <v>364.31</v>
      </c>
      <c r="J4" s="262">
        <v>483.51</v>
      </c>
      <c r="K4" s="262">
        <v>510.24</v>
      </c>
      <c r="L4" s="262">
        <v>410.95</v>
      </c>
      <c r="M4" s="263">
        <v>323.86</v>
      </c>
      <c r="N4" s="60">
        <f t="shared" ref="N4:N66" si="0">SUM(B4:M4)</f>
        <v>4537.4699999999993</v>
      </c>
      <c r="O4" s="19">
        <f>SUM('MTRT 2011'!B4:M4)</f>
        <v>4399.2700000000004</v>
      </c>
      <c r="P4" s="22">
        <f t="shared" ref="P4:P12" si="1">N4/O4-1</f>
        <v>3.1414302827514229E-2</v>
      </c>
      <c r="Q4" s="261" t="s">
        <v>154</v>
      </c>
    </row>
    <row r="5" spans="1:17">
      <c r="A5" s="261" t="s">
        <v>156</v>
      </c>
      <c r="B5" s="264">
        <v>0</v>
      </c>
      <c r="C5" s="264">
        <v>1488.07</v>
      </c>
      <c r="D5" s="265">
        <v>500.48</v>
      </c>
      <c r="E5" s="262">
        <v>600.76</v>
      </c>
      <c r="F5" s="262">
        <v>1327.05</v>
      </c>
      <c r="G5" s="262">
        <v>699.27</v>
      </c>
      <c r="H5" s="262">
        <v>922.2</v>
      </c>
      <c r="I5" s="262">
        <v>1615.59</v>
      </c>
      <c r="J5" s="262">
        <v>1043.74</v>
      </c>
      <c r="K5" s="262">
        <v>1137.99</v>
      </c>
      <c r="L5" s="262">
        <v>2058.2800000000002</v>
      </c>
      <c r="M5" s="263">
        <v>700.65</v>
      </c>
      <c r="N5" s="60">
        <f t="shared" si="0"/>
        <v>12094.08</v>
      </c>
      <c r="O5" s="19">
        <f>SUM('MTRT 2011'!B5:M5)</f>
        <v>14314.02</v>
      </c>
      <c r="P5" s="22">
        <f t="shared" si="1"/>
        <v>-0.15508850763098003</v>
      </c>
      <c r="Q5" s="261" t="s">
        <v>156</v>
      </c>
    </row>
    <row r="6" spans="1:17">
      <c r="A6" s="261" t="s">
        <v>157</v>
      </c>
      <c r="B6" s="264">
        <v>195.94</v>
      </c>
      <c r="C6" s="264">
        <v>357.65</v>
      </c>
      <c r="D6" s="265">
        <v>230.19</v>
      </c>
      <c r="E6" s="262">
        <v>312.18</v>
      </c>
      <c r="F6" s="262">
        <v>453.31</v>
      </c>
      <c r="G6" s="262">
        <v>335.21</v>
      </c>
      <c r="H6" s="262">
        <v>459.67</v>
      </c>
      <c r="I6" s="262">
        <v>1254.69</v>
      </c>
      <c r="J6" s="262">
        <v>681.11</v>
      </c>
      <c r="K6" s="262">
        <v>917.2</v>
      </c>
      <c r="L6" s="262">
        <v>603.08000000000004</v>
      </c>
      <c r="M6" s="263">
        <v>422.66</v>
      </c>
      <c r="N6" s="60">
        <f t="shared" si="0"/>
        <v>6222.8899999999994</v>
      </c>
      <c r="O6" s="19">
        <f>SUM('MTRT 2011'!B6:M6)</f>
        <v>7028.83</v>
      </c>
      <c r="P6" s="22">
        <f t="shared" si="1"/>
        <v>-0.11466204190455598</v>
      </c>
      <c r="Q6" s="261" t="s">
        <v>157</v>
      </c>
    </row>
    <row r="7" spans="1:17">
      <c r="A7" s="261" t="s">
        <v>158</v>
      </c>
      <c r="B7" s="264">
        <v>1441.27</v>
      </c>
      <c r="C7" s="264">
        <v>1301.71</v>
      </c>
      <c r="D7" s="265">
        <v>1025.3800000000001</v>
      </c>
      <c r="E7" s="262">
        <v>1513.52</v>
      </c>
      <c r="F7" s="262">
        <v>2148.98</v>
      </c>
      <c r="G7" s="262">
        <v>1379.26</v>
      </c>
      <c r="H7" s="262">
        <v>1723.08</v>
      </c>
      <c r="I7" s="262">
        <v>2788.69</v>
      </c>
      <c r="J7" s="262">
        <v>2215.36</v>
      </c>
      <c r="K7" s="262">
        <v>676.7</v>
      </c>
      <c r="L7" s="262">
        <v>3972.53</v>
      </c>
      <c r="M7" s="263">
        <v>1428.87</v>
      </c>
      <c r="N7" s="60">
        <f t="shared" si="0"/>
        <v>21615.350000000002</v>
      </c>
      <c r="O7" s="19"/>
      <c r="P7" s="22"/>
      <c r="Q7" s="261"/>
    </row>
    <row r="8" spans="1:17">
      <c r="A8" s="261" t="s">
        <v>160</v>
      </c>
      <c r="B8" s="264">
        <v>5032.24</v>
      </c>
      <c r="C8" s="264">
        <v>5650.71</v>
      </c>
      <c r="D8" s="265">
        <v>3656.18</v>
      </c>
      <c r="E8" s="262">
        <v>5139.59</v>
      </c>
      <c r="F8" s="262">
        <v>6424.2</v>
      </c>
      <c r="G8" s="262">
        <v>5972.56</v>
      </c>
      <c r="H8" s="262">
        <v>6939.97</v>
      </c>
      <c r="I8" s="262">
        <v>10081.18</v>
      </c>
      <c r="J8" s="262">
        <v>10126.35</v>
      </c>
      <c r="K8" s="262">
        <v>10724.55</v>
      </c>
      <c r="L8" s="262">
        <v>10278.18</v>
      </c>
      <c r="M8" s="263">
        <v>6008.96</v>
      </c>
      <c r="N8" s="60">
        <f>SUM(B8:M8)</f>
        <v>86034.67</v>
      </c>
      <c r="O8" s="19">
        <f>SUM('MTRT 2011'!B7:M7)</f>
        <v>66929.41</v>
      </c>
      <c r="P8" s="22">
        <f t="shared" si="1"/>
        <v>0.28545388342733036</v>
      </c>
      <c r="Q8" s="261" t="s">
        <v>160</v>
      </c>
    </row>
    <row r="9" spans="1:17">
      <c r="A9" s="261" t="s">
        <v>161</v>
      </c>
      <c r="B9" s="264">
        <v>2776.92</v>
      </c>
      <c r="C9" s="264">
        <v>1226.99</v>
      </c>
      <c r="D9" s="265">
        <v>2009.47</v>
      </c>
      <c r="E9" s="262">
        <v>2065.14</v>
      </c>
      <c r="F9" s="262">
        <v>2096</v>
      </c>
      <c r="G9" s="262">
        <v>3470.64</v>
      </c>
      <c r="H9" s="262">
        <v>1614.83</v>
      </c>
      <c r="I9" s="262">
        <v>4816.8900000000003</v>
      </c>
      <c r="J9" s="262">
        <v>1889.12</v>
      </c>
      <c r="K9" s="262">
        <v>4994.29</v>
      </c>
      <c r="L9" s="262">
        <v>1167.79</v>
      </c>
      <c r="M9" s="263">
        <v>1969.91</v>
      </c>
      <c r="N9" s="60">
        <f t="shared" si="0"/>
        <v>30097.99</v>
      </c>
      <c r="O9" s="19">
        <f>SUM('MTRT 2011'!B8:M8)</f>
        <v>28613.350000000002</v>
      </c>
      <c r="P9" s="22">
        <f t="shared" si="1"/>
        <v>5.1886269870532464E-2</v>
      </c>
      <c r="Q9" s="261" t="s">
        <v>161</v>
      </c>
    </row>
    <row r="10" spans="1:17">
      <c r="A10" s="261" t="s">
        <v>163</v>
      </c>
      <c r="B10" s="264">
        <v>4720.78</v>
      </c>
      <c r="C10" s="264">
        <v>5484.74</v>
      </c>
      <c r="D10" s="265">
        <v>3128.12</v>
      </c>
      <c r="E10" s="262">
        <v>1974.57</v>
      </c>
      <c r="F10" s="262">
        <v>5718.74</v>
      </c>
      <c r="G10" s="262">
        <v>4487</v>
      </c>
      <c r="H10" s="262">
        <v>5213.54</v>
      </c>
      <c r="I10" s="262">
        <v>6314.6</v>
      </c>
      <c r="J10" s="262">
        <v>6410.39</v>
      </c>
      <c r="K10" s="262">
        <v>5188.25</v>
      </c>
      <c r="L10" s="262">
        <v>5099.7299999999996</v>
      </c>
      <c r="M10" s="263">
        <v>5663.33</v>
      </c>
      <c r="N10" s="60">
        <f t="shared" si="0"/>
        <v>59403.789999999994</v>
      </c>
      <c r="O10" s="19">
        <f>SUM('MTRT 2011'!B9:M9)</f>
        <v>63205.81</v>
      </c>
      <c r="P10" s="22">
        <f t="shared" si="1"/>
        <v>-6.0153014414339512E-2</v>
      </c>
      <c r="Q10" s="261" t="s">
        <v>163</v>
      </c>
    </row>
    <row r="11" spans="1:17">
      <c r="A11" s="261" t="s">
        <v>166</v>
      </c>
      <c r="B11" s="264">
        <v>345.17</v>
      </c>
      <c r="C11" s="264">
        <v>395.52</v>
      </c>
      <c r="D11" s="265">
        <v>307.17</v>
      </c>
      <c r="E11" s="262">
        <v>265.76</v>
      </c>
      <c r="F11" s="262">
        <v>668.22</v>
      </c>
      <c r="G11" s="262">
        <v>346.02</v>
      </c>
      <c r="H11" s="262">
        <v>488.16</v>
      </c>
      <c r="I11" s="262">
        <v>607.30999999999995</v>
      </c>
      <c r="J11" s="262">
        <v>614.21</v>
      </c>
      <c r="K11" s="262">
        <v>785.24</v>
      </c>
      <c r="L11" s="262">
        <v>462.63</v>
      </c>
      <c r="M11" s="263">
        <v>310.14</v>
      </c>
      <c r="N11" s="60">
        <f t="shared" si="0"/>
        <v>5595.55</v>
      </c>
      <c r="O11" s="19">
        <f>SUM('MTRT 2011'!B10:M10)</f>
        <v>6388.58</v>
      </c>
      <c r="P11" s="22">
        <f t="shared" si="1"/>
        <v>-0.12413243631605142</v>
      </c>
      <c r="Q11" s="261" t="s">
        <v>166</v>
      </c>
    </row>
    <row r="12" spans="1:17">
      <c r="A12" s="261" t="s">
        <v>167</v>
      </c>
      <c r="B12" s="264">
        <v>153.27000000000001</v>
      </c>
      <c r="C12" s="264">
        <v>44.16</v>
      </c>
      <c r="D12" s="265">
        <v>1.78</v>
      </c>
      <c r="E12" s="262">
        <v>0</v>
      </c>
      <c r="F12" s="262">
        <v>4.2699999999999996</v>
      </c>
      <c r="G12" s="262">
        <v>6.44</v>
      </c>
      <c r="H12" s="262">
        <v>365.35</v>
      </c>
      <c r="I12" s="262">
        <v>887.69</v>
      </c>
      <c r="J12" s="262">
        <v>1112.9000000000001</v>
      </c>
      <c r="K12" s="262">
        <v>0.66</v>
      </c>
      <c r="L12" s="262">
        <v>484.98</v>
      </c>
      <c r="M12" s="263">
        <v>1086.01</v>
      </c>
      <c r="N12" s="60">
        <f t="shared" si="0"/>
        <v>4147.51</v>
      </c>
      <c r="O12" s="19">
        <f>SUM('MTRT 2011'!B11:M11)</f>
        <v>3235.2300000000005</v>
      </c>
      <c r="P12" s="22">
        <f t="shared" si="1"/>
        <v>0.28198304293666898</v>
      </c>
      <c r="Q12" s="261" t="s">
        <v>167</v>
      </c>
    </row>
    <row r="13" spans="1:17">
      <c r="A13" s="261" t="s">
        <v>168</v>
      </c>
      <c r="B13" s="262">
        <v>12509.13</v>
      </c>
      <c r="C13" s="262">
        <v>7906.87</v>
      </c>
      <c r="D13" s="265">
        <v>10817.33</v>
      </c>
      <c r="E13" s="262">
        <v>9665.77</v>
      </c>
      <c r="F13" s="262">
        <v>16245.15</v>
      </c>
      <c r="G13" s="262">
        <v>15069.31</v>
      </c>
      <c r="H13" s="262">
        <v>13281.48</v>
      </c>
      <c r="I13" s="262">
        <v>16180.59</v>
      </c>
      <c r="J13" s="262">
        <v>15493.02</v>
      </c>
      <c r="K13" s="262">
        <v>16492.46</v>
      </c>
      <c r="L13" s="262">
        <v>12724.34</v>
      </c>
      <c r="M13" s="263">
        <v>11207.04</v>
      </c>
      <c r="N13" s="60">
        <f t="shared" si="0"/>
        <v>157592.49000000002</v>
      </c>
      <c r="O13" s="19">
        <f>SUM('MTRT 2011'!B12:M12)</f>
        <v>152433.41</v>
      </c>
      <c r="P13" s="22">
        <f>N13/O13-1</f>
        <v>3.3844811317938817E-2</v>
      </c>
      <c r="Q13" s="261" t="s">
        <v>168</v>
      </c>
    </row>
    <row r="14" spans="1:17">
      <c r="A14" s="261" t="s">
        <v>169</v>
      </c>
      <c r="B14" s="262">
        <v>1037.3599999999999</v>
      </c>
      <c r="C14" s="262">
        <v>1497.55</v>
      </c>
      <c r="D14" s="265">
        <v>1355.53</v>
      </c>
      <c r="E14" s="262">
        <v>1191.05</v>
      </c>
      <c r="F14" s="262">
        <v>2153.15</v>
      </c>
      <c r="G14" s="262">
        <v>1518.79</v>
      </c>
      <c r="H14" s="262">
        <v>1978.26</v>
      </c>
      <c r="I14" s="262">
        <v>3663.93</v>
      </c>
      <c r="J14" s="262">
        <v>2523.58</v>
      </c>
      <c r="K14" s="262">
        <v>4285.26</v>
      </c>
      <c r="L14" s="262">
        <v>3129.83</v>
      </c>
      <c r="M14" s="263">
        <v>836.54</v>
      </c>
      <c r="N14" s="60">
        <f t="shared" si="0"/>
        <v>25170.83</v>
      </c>
      <c r="O14" s="19">
        <f>SUM('MTRT 2011'!B13:M13)</f>
        <v>18217.07</v>
      </c>
      <c r="P14" s="22">
        <f t="shared" ref="P14:P66" si="2">N14/O14-1</f>
        <v>0.38171670855960937</v>
      </c>
      <c r="Q14" s="261" t="s">
        <v>169</v>
      </c>
    </row>
    <row r="15" spans="1:17">
      <c r="A15" s="261" t="s">
        <v>170</v>
      </c>
      <c r="B15" s="266">
        <v>0</v>
      </c>
      <c r="C15" s="262">
        <v>487.72</v>
      </c>
      <c r="D15" s="265">
        <v>0</v>
      </c>
      <c r="E15" s="266">
        <v>0</v>
      </c>
      <c r="F15" s="266">
        <v>493.53</v>
      </c>
      <c r="G15" s="262">
        <v>0</v>
      </c>
      <c r="H15" s="262">
        <v>0</v>
      </c>
      <c r="I15" s="262">
        <v>602.79999999999995</v>
      </c>
      <c r="J15" s="262">
        <v>0</v>
      </c>
      <c r="K15" s="262">
        <v>0</v>
      </c>
      <c r="L15" s="262">
        <v>780.18</v>
      </c>
      <c r="M15" s="263">
        <v>0</v>
      </c>
      <c r="N15" s="60">
        <f t="shared" si="0"/>
        <v>2364.23</v>
      </c>
      <c r="O15" s="19">
        <f>SUM('MTRT 2011'!B14:M14)</f>
        <v>1795.33</v>
      </c>
      <c r="P15" s="22">
        <f t="shared" si="2"/>
        <v>0.3168776770844357</v>
      </c>
      <c r="Q15" s="261" t="s">
        <v>170</v>
      </c>
    </row>
    <row r="16" spans="1:17">
      <c r="A16" s="261" t="s">
        <v>171</v>
      </c>
      <c r="B16" s="266">
        <v>2112.0100000000002</v>
      </c>
      <c r="C16" s="262">
        <v>2326.13</v>
      </c>
      <c r="D16" s="265">
        <v>2308.13</v>
      </c>
      <c r="E16" s="266">
        <v>1809.96</v>
      </c>
      <c r="F16" s="266">
        <v>3114.27</v>
      </c>
      <c r="G16" s="262">
        <v>2678.52</v>
      </c>
      <c r="H16" s="262">
        <v>2804.85</v>
      </c>
      <c r="I16" s="262">
        <v>3455.97</v>
      </c>
      <c r="J16" s="262">
        <v>2134.4299999999998</v>
      </c>
      <c r="K16" s="262">
        <v>5473.98</v>
      </c>
      <c r="L16" s="262">
        <v>4679.3</v>
      </c>
      <c r="M16" s="263">
        <v>3199.14</v>
      </c>
      <c r="N16" s="60">
        <f t="shared" si="0"/>
        <v>36096.69</v>
      </c>
      <c r="O16" s="19">
        <f>SUM('MTRT 2011'!B15:M15)</f>
        <v>30027.019999999997</v>
      </c>
      <c r="P16" s="22">
        <f t="shared" si="2"/>
        <v>0.20214027232805676</v>
      </c>
      <c r="Q16" s="261" t="s">
        <v>171</v>
      </c>
    </row>
    <row r="17" spans="1:17">
      <c r="A17" s="261" t="s">
        <v>172</v>
      </c>
      <c r="B17" s="262">
        <v>0</v>
      </c>
      <c r="C17" s="262">
        <v>3000.37</v>
      </c>
      <c r="D17" s="265">
        <v>1102.19</v>
      </c>
      <c r="E17" s="262">
        <v>0</v>
      </c>
      <c r="F17" s="262">
        <v>1593.3</v>
      </c>
      <c r="G17" s="266">
        <v>2624.65</v>
      </c>
      <c r="H17" s="266">
        <v>0</v>
      </c>
      <c r="I17" s="262">
        <v>4051.22</v>
      </c>
      <c r="J17" s="262">
        <v>0</v>
      </c>
      <c r="K17" s="262">
        <v>2169.87</v>
      </c>
      <c r="L17" s="262">
        <v>1542.11</v>
      </c>
      <c r="M17" s="263">
        <v>1350.26</v>
      </c>
      <c r="N17" s="60">
        <f t="shared" si="0"/>
        <v>17433.969999999998</v>
      </c>
      <c r="O17" s="19">
        <f>SUM('MTRT 2011'!B16:M16)</f>
        <v>16631.240000000002</v>
      </c>
      <c r="P17" s="22">
        <f t="shared" si="2"/>
        <v>4.8266395049316513E-2</v>
      </c>
      <c r="Q17" s="261" t="s">
        <v>172</v>
      </c>
    </row>
    <row r="18" spans="1:17">
      <c r="A18" s="261" t="s">
        <v>174</v>
      </c>
      <c r="B18" s="264">
        <v>2339.34</v>
      </c>
      <c r="C18" s="264">
        <v>1307.25</v>
      </c>
      <c r="D18" s="265">
        <v>1445.38</v>
      </c>
      <c r="E18" s="262">
        <v>1306.03</v>
      </c>
      <c r="F18" s="262">
        <v>2369.2199999999998</v>
      </c>
      <c r="G18" s="262">
        <v>1140.08</v>
      </c>
      <c r="H18" s="262">
        <v>1473.74</v>
      </c>
      <c r="I18" s="262">
        <v>2519.69</v>
      </c>
      <c r="J18" s="262">
        <v>1516.37</v>
      </c>
      <c r="K18" s="262">
        <v>1528.41</v>
      </c>
      <c r="L18" s="262">
        <v>2594.7600000000002</v>
      </c>
      <c r="M18" s="263">
        <v>1836.31</v>
      </c>
      <c r="N18" s="60">
        <f t="shared" si="0"/>
        <v>21376.579999999998</v>
      </c>
      <c r="O18" s="19">
        <f>SUM('MTRT 2011'!B17:M17)</f>
        <v>14996.32</v>
      </c>
      <c r="P18" s="22">
        <f t="shared" si="2"/>
        <v>0.42545504497103281</v>
      </c>
      <c r="Q18" s="261" t="s">
        <v>174</v>
      </c>
    </row>
    <row r="19" spans="1:17">
      <c r="A19" s="261" t="s">
        <v>176</v>
      </c>
      <c r="B19" s="264">
        <v>2467.96</v>
      </c>
      <c r="C19" s="264">
        <v>2323.2399999999998</v>
      </c>
      <c r="D19" s="265">
        <v>1177.7</v>
      </c>
      <c r="E19" s="262">
        <v>2136.67</v>
      </c>
      <c r="F19" s="262">
        <v>4302.32</v>
      </c>
      <c r="G19" s="262">
        <v>5995.12</v>
      </c>
      <c r="H19" s="262">
        <v>8855.66</v>
      </c>
      <c r="I19" s="262">
        <v>8843.09</v>
      </c>
      <c r="J19" s="262">
        <v>6329.27</v>
      </c>
      <c r="K19" s="262">
        <v>8781.2199999999993</v>
      </c>
      <c r="L19" s="262">
        <v>7340.24</v>
      </c>
      <c r="M19" s="263">
        <v>5784.19</v>
      </c>
      <c r="N19" s="60">
        <f t="shared" si="0"/>
        <v>64336.68</v>
      </c>
      <c r="O19" s="19">
        <f>SUM('MTRT 2011'!B18:M18)</f>
        <v>62458.19</v>
      </c>
      <c r="P19" s="22">
        <f t="shared" si="2"/>
        <v>3.0075959613943271E-2</v>
      </c>
      <c r="Q19" s="261" t="s">
        <v>176</v>
      </c>
    </row>
    <row r="20" spans="1:17">
      <c r="A20" s="261" t="s">
        <v>178</v>
      </c>
      <c r="B20" s="264">
        <v>43.19</v>
      </c>
      <c r="C20" s="264">
        <v>1192.0999999999999</v>
      </c>
      <c r="D20" s="265">
        <v>0</v>
      </c>
      <c r="E20" s="262">
        <v>590.79</v>
      </c>
      <c r="F20" s="262">
        <v>757.56</v>
      </c>
      <c r="G20" s="262">
        <v>0</v>
      </c>
      <c r="H20" s="262">
        <v>2276.91</v>
      </c>
      <c r="I20" s="262">
        <v>3251.94</v>
      </c>
      <c r="J20" s="262">
        <v>568.80999999999995</v>
      </c>
      <c r="K20" s="262">
        <v>962.9</v>
      </c>
      <c r="L20" s="262">
        <v>4160.79</v>
      </c>
      <c r="M20" s="263">
        <v>76.08</v>
      </c>
      <c r="N20" s="60">
        <f t="shared" si="0"/>
        <v>13881.069999999998</v>
      </c>
      <c r="O20" s="19">
        <f>SUM('MTRT 2011'!B19:M19)</f>
        <v>5384.7699999999995</v>
      </c>
      <c r="P20" s="22">
        <f t="shared" si="2"/>
        <v>1.5778389791950258</v>
      </c>
      <c r="Q20" s="261"/>
    </row>
    <row r="21" spans="1:17">
      <c r="A21" s="261" t="s">
        <v>180</v>
      </c>
      <c r="B21" s="264">
        <v>13996.66</v>
      </c>
      <c r="C21" s="264">
        <v>18597.400000000001</v>
      </c>
      <c r="D21" s="265">
        <v>8730.52</v>
      </c>
      <c r="E21" s="262">
        <v>14516.8</v>
      </c>
      <c r="F21" s="262">
        <v>61091.12</v>
      </c>
      <c r="G21" s="262">
        <v>71198.179999999993</v>
      </c>
      <c r="H21" s="262">
        <v>89317.89</v>
      </c>
      <c r="I21" s="262">
        <v>108493.9</v>
      </c>
      <c r="J21" s="262">
        <v>71634.89</v>
      </c>
      <c r="K21" s="262">
        <v>80529.03</v>
      </c>
      <c r="L21" s="262">
        <v>97958.43</v>
      </c>
      <c r="M21" s="263">
        <v>56864.56</v>
      </c>
      <c r="N21" s="60">
        <f t="shared" si="0"/>
        <v>692929.38000000012</v>
      </c>
      <c r="O21" s="19">
        <f>SUM('MTRT 2011'!B20:M20)</f>
        <v>624399.48</v>
      </c>
      <c r="P21" s="22">
        <f t="shared" si="2"/>
        <v>0.10975329447743953</v>
      </c>
      <c r="Q21" s="261" t="s">
        <v>180</v>
      </c>
    </row>
    <row r="22" spans="1:17">
      <c r="A22" s="261" t="s">
        <v>185</v>
      </c>
      <c r="B22" s="264">
        <v>0</v>
      </c>
      <c r="C22" s="264">
        <v>0</v>
      </c>
      <c r="D22" s="265">
        <v>0</v>
      </c>
      <c r="E22" s="262">
        <v>0</v>
      </c>
      <c r="F22" s="262">
        <v>0</v>
      </c>
      <c r="G22" s="262">
        <v>0</v>
      </c>
      <c r="H22" s="262">
        <v>0</v>
      </c>
      <c r="I22" s="262">
        <v>0</v>
      </c>
      <c r="J22" s="262">
        <v>0</v>
      </c>
      <c r="K22" s="262">
        <v>0</v>
      </c>
      <c r="L22" s="262">
        <v>0</v>
      </c>
      <c r="M22" s="263">
        <v>0</v>
      </c>
      <c r="N22" s="60">
        <f t="shared" si="0"/>
        <v>0</v>
      </c>
      <c r="O22" s="19"/>
      <c r="P22" s="22"/>
      <c r="Q22" s="261"/>
    </row>
    <row r="23" spans="1:17">
      <c r="A23" s="261" t="s">
        <v>187</v>
      </c>
      <c r="B23" s="264">
        <v>44.87</v>
      </c>
      <c r="C23" s="264">
        <v>43.87</v>
      </c>
      <c r="D23" s="265">
        <v>18.23</v>
      </c>
      <c r="E23" s="262">
        <v>6.25</v>
      </c>
      <c r="F23" s="262">
        <v>65.290000000000006</v>
      </c>
      <c r="G23" s="262">
        <v>0</v>
      </c>
      <c r="H23" s="262">
        <v>0</v>
      </c>
      <c r="I23" s="262">
        <v>725.87</v>
      </c>
      <c r="J23" s="262">
        <v>0</v>
      </c>
      <c r="K23" s="262">
        <v>68.27</v>
      </c>
      <c r="L23" s="262">
        <v>401.82</v>
      </c>
      <c r="M23" s="263">
        <v>0</v>
      </c>
      <c r="N23" s="60">
        <f t="shared" si="0"/>
        <v>1374.47</v>
      </c>
      <c r="O23" s="19">
        <f>SUM('MTRT 2011'!B21:M21)</f>
        <v>771.24</v>
      </c>
      <c r="P23" s="22">
        <f t="shared" si="2"/>
        <v>0.78215600850578282</v>
      </c>
      <c r="Q23" s="261"/>
    </row>
    <row r="24" spans="1:17">
      <c r="A24" s="261" t="s">
        <v>188</v>
      </c>
      <c r="B24" s="264">
        <v>5562.47</v>
      </c>
      <c r="C24" s="264">
        <v>4139.43</v>
      </c>
      <c r="D24" s="265">
        <v>3168.97</v>
      </c>
      <c r="E24" s="262">
        <v>1976.99</v>
      </c>
      <c r="F24" s="262">
        <v>4469.5600000000004</v>
      </c>
      <c r="G24" s="262">
        <v>6861.9</v>
      </c>
      <c r="H24" s="262">
        <v>9884.84</v>
      </c>
      <c r="I24" s="262">
        <v>20506.169999999998</v>
      </c>
      <c r="J24" s="262">
        <v>11420.8</v>
      </c>
      <c r="K24" s="262">
        <v>12277.68</v>
      </c>
      <c r="L24" s="262">
        <v>19938.080000000002</v>
      </c>
      <c r="M24" s="263">
        <v>7372.7</v>
      </c>
      <c r="N24" s="60">
        <f t="shared" si="0"/>
        <v>107579.59</v>
      </c>
      <c r="O24" s="19">
        <f>SUM('MTRT 2011'!B22:M22)</f>
        <v>98022.32</v>
      </c>
      <c r="P24" s="22">
        <f t="shared" si="2"/>
        <v>9.7500956924912563E-2</v>
      </c>
      <c r="Q24" s="261"/>
    </row>
    <row r="25" spans="1:17">
      <c r="A25" s="261" t="s">
        <v>190</v>
      </c>
      <c r="B25" s="264">
        <v>820.04</v>
      </c>
      <c r="C25" s="264">
        <v>1215.79</v>
      </c>
      <c r="D25" s="265">
        <v>850.01</v>
      </c>
      <c r="E25" s="262">
        <v>685.28</v>
      </c>
      <c r="F25" s="262">
        <v>1462.49</v>
      </c>
      <c r="G25" s="262">
        <v>1239.56</v>
      </c>
      <c r="H25" s="262">
        <v>1175.18</v>
      </c>
      <c r="I25" s="262">
        <v>2247.06</v>
      </c>
      <c r="J25" s="262">
        <v>1297.07</v>
      </c>
      <c r="K25" s="262">
        <v>1064.95</v>
      </c>
      <c r="L25" s="262">
        <v>1446.89</v>
      </c>
      <c r="M25" s="263">
        <v>901.45</v>
      </c>
      <c r="N25" s="60">
        <f t="shared" si="0"/>
        <v>14405.77</v>
      </c>
      <c r="O25" s="19">
        <f>SUM('MTRT 2011'!B23:M23)</f>
        <v>16169.240000000002</v>
      </c>
      <c r="P25" s="22">
        <f t="shared" si="2"/>
        <v>-0.10906325838443864</v>
      </c>
      <c r="Q25" s="261" t="s">
        <v>190</v>
      </c>
    </row>
    <row r="26" spans="1:17">
      <c r="A26" s="261" t="s">
        <v>191</v>
      </c>
      <c r="B26" s="264">
        <v>996.58</v>
      </c>
      <c r="C26" s="264">
        <v>1089.51</v>
      </c>
      <c r="D26" s="265">
        <v>849.07</v>
      </c>
      <c r="E26" s="262">
        <v>473.9</v>
      </c>
      <c r="F26" s="262">
        <v>934.34</v>
      </c>
      <c r="G26" s="262">
        <v>2163.13</v>
      </c>
      <c r="H26" s="262">
        <v>2348.73</v>
      </c>
      <c r="I26" s="262">
        <v>3735.99</v>
      </c>
      <c r="J26" s="262">
        <v>880.9</v>
      </c>
      <c r="K26" s="262">
        <v>895.5</v>
      </c>
      <c r="L26" s="262">
        <v>3474.65</v>
      </c>
      <c r="M26" s="263">
        <v>650.57000000000005</v>
      </c>
      <c r="N26" s="60">
        <f t="shared" si="0"/>
        <v>18492.87</v>
      </c>
      <c r="O26" s="19">
        <f>SUM('MTRT 2011'!B24:M24)</f>
        <v>16403.370000000003</v>
      </c>
      <c r="P26" s="22">
        <f t="shared" si="2"/>
        <v>0.12738236106361045</v>
      </c>
      <c r="Q26" s="261" t="s">
        <v>191</v>
      </c>
    </row>
    <row r="27" spans="1:17">
      <c r="A27" s="261" t="s">
        <v>196</v>
      </c>
      <c r="B27" s="264">
        <v>988.48</v>
      </c>
      <c r="C27" s="264">
        <v>3338.05</v>
      </c>
      <c r="D27" s="265">
        <v>1323.4</v>
      </c>
      <c r="E27" s="262">
        <v>4072.32</v>
      </c>
      <c r="F27" s="262">
        <v>6022.28</v>
      </c>
      <c r="G27" s="262">
        <v>1154.0999999999999</v>
      </c>
      <c r="H27" s="262">
        <v>945.23</v>
      </c>
      <c r="I27" s="262">
        <v>1777.85</v>
      </c>
      <c r="J27" s="262">
        <v>712.56</v>
      </c>
      <c r="K27" s="262">
        <v>338.94</v>
      </c>
      <c r="L27" s="262">
        <v>1355.23</v>
      </c>
      <c r="M27" s="263">
        <v>75.150000000000006</v>
      </c>
      <c r="N27" s="60">
        <f t="shared" si="0"/>
        <v>22103.589999999997</v>
      </c>
      <c r="O27" s="19">
        <f>SUM('MTRT 2011'!B25:M25)</f>
        <v>25592.350000000002</v>
      </c>
      <c r="P27" s="22">
        <f t="shared" si="2"/>
        <v>-0.13632042387666643</v>
      </c>
      <c r="Q27" s="261" t="s">
        <v>197</v>
      </c>
    </row>
    <row r="28" spans="1:17">
      <c r="A28" s="261" t="s">
        <v>198</v>
      </c>
      <c r="B28" s="264">
        <v>1565</v>
      </c>
      <c r="C28" s="264">
        <v>1626.06</v>
      </c>
      <c r="D28" s="265">
        <v>2026.78</v>
      </c>
      <c r="E28" s="262">
        <v>2185.89</v>
      </c>
      <c r="F28" s="262">
        <v>4749.97</v>
      </c>
      <c r="G28" s="262">
        <v>3891.47</v>
      </c>
      <c r="H28" s="262">
        <v>4414.6099999999997</v>
      </c>
      <c r="I28" s="262">
        <v>6037.02</v>
      </c>
      <c r="J28" s="262">
        <v>5981.01</v>
      </c>
      <c r="K28" s="262">
        <v>5646.39</v>
      </c>
      <c r="L28" s="262">
        <v>4799.05</v>
      </c>
      <c r="M28" s="263">
        <v>4419.41</v>
      </c>
      <c r="N28" s="60">
        <f t="shared" si="0"/>
        <v>47342.66</v>
      </c>
      <c r="O28" s="19">
        <f>SUM('MTRT 2011'!B26:M26)</f>
        <v>9727.92</v>
      </c>
      <c r="P28" s="22">
        <f t="shared" si="2"/>
        <v>3.8666785911068349</v>
      </c>
      <c r="Q28" s="261"/>
    </row>
    <row r="29" spans="1:17">
      <c r="A29" s="261" t="s">
        <v>199</v>
      </c>
      <c r="B29" s="264">
        <v>2516.29</v>
      </c>
      <c r="C29" s="264">
        <v>4527.16</v>
      </c>
      <c r="D29" s="265">
        <v>6503.9</v>
      </c>
      <c r="E29" s="262">
        <v>22.32</v>
      </c>
      <c r="F29" s="262">
        <v>3638.72</v>
      </c>
      <c r="G29" s="262">
        <v>5689.19</v>
      </c>
      <c r="H29" s="262">
        <v>2707.76</v>
      </c>
      <c r="I29" s="262">
        <v>2927.97</v>
      </c>
      <c r="J29" s="262">
        <v>3730.29</v>
      </c>
      <c r="K29" s="262">
        <v>3106.57</v>
      </c>
      <c r="L29" s="262">
        <v>3336.22</v>
      </c>
      <c r="M29" s="263">
        <v>3013.54</v>
      </c>
      <c r="N29" s="60">
        <f t="shared" si="0"/>
        <v>41719.93</v>
      </c>
      <c r="O29" s="19">
        <f>SUM('MTRT 2011'!B27:M27)</f>
        <v>34938.47</v>
      </c>
      <c r="P29" s="22">
        <f t="shared" si="2"/>
        <v>0.19409722291788967</v>
      </c>
      <c r="Q29" s="267" t="s">
        <v>199</v>
      </c>
    </row>
    <row r="30" spans="1:17">
      <c r="A30" s="261" t="s">
        <v>200</v>
      </c>
      <c r="B30" s="264">
        <v>7077.91</v>
      </c>
      <c r="C30" s="264">
        <v>9012.75</v>
      </c>
      <c r="D30" s="265">
        <v>3322.72</v>
      </c>
      <c r="E30" s="262">
        <v>7557.22</v>
      </c>
      <c r="F30" s="262">
        <v>14909.74</v>
      </c>
      <c r="G30" s="262">
        <v>4710.25</v>
      </c>
      <c r="H30" s="262">
        <v>7178.09</v>
      </c>
      <c r="I30" s="262">
        <v>14024.4</v>
      </c>
      <c r="J30" s="262">
        <v>5158.47</v>
      </c>
      <c r="K30" s="262">
        <v>8788.32</v>
      </c>
      <c r="L30" s="262">
        <v>9117.7199999999993</v>
      </c>
      <c r="M30" s="263">
        <v>8954.86</v>
      </c>
      <c r="N30" s="60">
        <f t="shared" si="0"/>
        <v>99812.45</v>
      </c>
      <c r="O30" s="19">
        <f>SUM('MTRT 2011'!B28:M28)</f>
        <v>31443.24</v>
      </c>
      <c r="P30" s="22">
        <f t="shared" si="2"/>
        <v>2.1743691171774917</v>
      </c>
      <c r="Q30" s="261"/>
    </row>
    <row r="31" spans="1:17">
      <c r="A31" s="261" t="s">
        <v>201</v>
      </c>
      <c r="B31" s="264">
        <v>2116.54</v>
      </c>
      <c r="C31" s="264">
        <v>6547.19</v>
      </c>
      <c r="D31" s="265">
        <v>6633.58</v>
      </c>
      <c r="E31" s="262">
        <v>10892.17</v>
      </c>
      <c r="F31" s="262">
        <v>9187.7900000000009</v>
      </c>
      <c r="G31" s="262">
        <v>5542.6</v>
      </c>
      <c r="H31" s="262">
        <v>9728.0300000000007</v>
      </c>
      <c r="I31" s="262">
        <v>8515.25</v>
      </c>
      <c r="J31" s="262">
        <v>9415.2900000000009</v>
      </c>
      <c r="K31" s="262">
        <v>9475.51</v>
      </c>
      <c r="L31" s="262">
        <v>8946.2999999999993</v>
      </c>
      <c r="M31" s="263">
        <v>7108.92</v>
      </c>
      <c r="N31" s="60">
        <f t="shared" si="0"/>
        <v>94109.17</v>
      </c>
      <c r="O31" s="19">
        <f>SUM('MTRT 2011'!B29:M29)</f>
        <v>28935.379999999997</v>
      </c>
      <c r="P31" s="22">
        <f t="shared" si="2"/>
        <v>2.2523910175017576</v>
      </c>
      <c r="Q31" s="261"/>
    </row>
    <row r="32" spans="1:17">
      <c r="A32" s="261" t="s">
        <v>202</v>
      </c>
      <c r="B32" s="264">
        <v>137310.12</v>
      </c>
      <c r="C32" s="264">
        <v>157521.13</v>
      </c>
      <c r="D32" s="265">
        <v>191885.68</v>
      </c>
      <c r="E32" s="262">
        <v>192480.46</v>
      </c>
      <c r="F32" s="262">
        <v>243780.34</v>
      </c>
      <c r="G32" s="262">
        <v>184920.06</v>
      </c>
      <c r="H32" s="262">
        <v>202367.77</v>
      </c>
      <c r="I32" s="262">
        <v>237232.69</v>
      </c>
      <c r="J32" s="262">
        <v>177426.72</v>
      </c>
      <c r="K32" s="262">
        <v>225936.85</v>
      </c>
      <c r="L32" s="262">
        <v>226432.25</v>
      </c>
      <c r="M32" s="263">
        <v>199327.19</v>
      </c>
      <c r="N32" s="60">
        <f t="shared" si="0"/>
        <v>2376621.2600000002</v>
      </c>
      <c r="O32" s="19">
        <f>SUM('MTRT 2011'!B30:M30)</f>
        <v>838572.97</v>
      </c>
      <c r="P32" s="22">
        <f t="shared" si="2"/>
        <v>1.8341257648693357</v>
      </c>
      <c r="Q32" s="261"/>
    </row>
    <row r="33" spans="1:17">
      <c r="A33" s="261" t="s">
        <v>203</v>
      </c>
      <c r="B33" s="264">
        <v>0</v>
      </c>
      <c r="C33" s="264">
        <v>4871.3</v>
      </c>
      <c r="D33" s="265">
        <v>33116.94</v>
      </c>
      <c r="E33" s="262">
        <v>34943.160000000003</v>
      </c>
      <c r="F33" s="262">
        <v>40398.06</v>
      </c>
      <c r="G33" s="262">
        <v>32152.55</v>
      </c>
      <c r="H33" s="262">
        <v>33413.01</v>
      </c>
      <c r="I33" s="262">
        <v>30816.79</v>
      </c>
      <c r="J33" s="262">
        <v>35712.26</v>
      </c>
      <c r="K33" s="262">
        <v>39756.07</v>
      </c>
      <c r="L33" s="262">
        <v>33317.43</v>
      </c>
      <c r="M33" s="263">
        <v>36123.83</v>
      </c>
      <c r="N33" s="60">
        <f t="shared" si="0"/>
        <v>354621.4</v>
      </c>
      <c r="O33" s="19"/>
      <c r="P33" s="22"/>
      <c r="Q33" s="261"/>
    </row>
    <row r="34" spans="1:17">
      <c r="A34" s="261" t="s">
        <v>204</v>
      </c>
      <c r="B34" s="264">
        <v>2784.04</v>
      </c>
      <c r="C34" s="264">
        <v>1226.17</v>
      </c>
      <c r="D34" s="265">
        <v>2780.36</v>
      </c>
      <c r="E34" s="262">
        <v>2871</v>
      </c>
      <c r="F34" s="262">
        <v>2564.46</v>
      </c>
      <c r="G34" s="262">
        <v>1926.05</v>
      </c>
      <c r="H34" s="262">
        <v>1962.95</v>
      </c>
      <c r="I34" s="262">
        <v>3452.94</v>
      </c>
      <c r="J34" s="262">
        <v>2619.4299999999998</v>
      </c>
      <c r="K34" s="262">
        <v>3439.31</v>
      </c>
      <c r="L34" s="262">
        <v>2712.37</v>
      </c>
      <c r="M34" s="263">
        <v>2546.8200000000002</v>
      </c>
      <c r="N34" s="60">
        <f t="shared" si="0"/>
        <v>30885.899999999998</v>
      </c>
      <c r="O34" s="19">
        <f>SUM('MTRT 2011'!B31:M31)</f>
        <v>27751.98</v>
      </c>
      <c r="P34" s="22">
        <f t="shared" si="2"/>
        <v>0.11292599663159164</v>
      </c>
      <c r="Q34" s="261" t="s">
        <v>204</v>
      </c>
    </row>
    <row r="35" spans="1:17" s="154" customFormat="1">
      <c r="A35" s="261" t="s">
        <v>205</v>
      </c>
      <c r="B35" s="262">
        <v>2104.5</v>
      </c>
      <c r="C35" s="262">
        <v>1621.18</v>
      </c>
      <c r="D35" s="265">
        <v>2266.25</v>
      </c>
      <c r="E35" s="262">
        <v>2195.29</v>
      </c>
      <c r="F35" s="262">
        <v>2507.9899999999998</v>
      </c>
      <c r="G35" s="262">
        <v>2337.73</v>
      </c>
      <c r="H35" s="262">
        <v>4852.41</v>
      </c>
      <c r="I35" s="262">
        <v>0</v>
      </c>
      <c r="J35" s="262">
        <v>1892.27</v>
      </c>
      <c r="K35" s="262">
        <v>2397.5700000000002</v>
      </c>
      <c r="L35" s="262">
        <v>2204.0500000000002</v>
      </c>
      <c r="M35" s="263">
        <v>1939.11</v>
      </c>
      <c r="N35" s="60">
        <f t="shared" si="0"/>
        <v>26318.35</v>
      </c>
      <c r="O35" s="19">
        <f>SUM('MTRT 2011'!B32:M32)</f>
        <v>26469.340000000004</v>
      </c>
      <c r="P35" s="22">
        <f t="shared" si="2"/>
        <v>-5.7043356577838322E-3</v>
      </c>
      <c r="Q35" s="261" t="s">
        <v>205</v>
      </c>
    </row>
    <row r="36" spans="1:17" s="154" customFormat="1">
      <c r="A36" s="261" t="s">
        <v>206</v>
      </c>
      <c r="B36" s="262">
        <v>12231.84</v>
      </c>
      <c r="C36" s="262">
        <v>16596.62</v>
      </c>
      <c r="D36" s="265">
        <v>17457.89</v>
      </c>
      <c r="E36" s="262">
        <v>18176.240000000002</v>
      </c>
      <c r="F36" s="262">
        <v>21196.41</v>
      </c>
      <c r="G36" s="262">
        <v>17933.03</v>
      </c>
      <c r="H36" s="262">
        <v>20720.52</v>
      </c>
      <c r="I36" s="262">
        <v>22635.47</v>
      </c>
      <c r="J36" s="262">
        <v>20885.55</v>
      </c>
      <c r="K36" s="262">
        <v>22184.68</v>
      </c>
      <c r="L36" s="262">
        <v>18548.689999999999</v>
      </c>
      <c r="M36" s="263">
        <v>18553.310000000001</v>
      </c>
      <c r="N36" s="60">
        <f t="shared" si="0"/>
        <v>227120.25</v>
      </c>
      <c r="O36" s="19">
        <f>SUM('MTRT 2011'!B33:M33)</f>
        <v>191112.223</v>
      </c>
      <c r="P36" s="22">
        <f t="shared" si="2"/>
        <v>0.18841299857623439</v>
      </c>
      <c r="Q36" s="261" t="s">
        <v>206</v>
      </c>
    </row>
    <row r="37" spans="1:17">
      <c r="A37" s="261" t="s">
        <v>208</v>
      </c>
      <c r="B37" s="264">
        <v>1182.02</v>
      </c>
      <c r="C37" s="264">
        <v>1070.69</v>
      </c>
      <c r="D37" s="265">
        <v>332.36</v>
      </c>
      <c r="E37" s="262">
        <v>1431.47</v>
      </c>
      <c r="F37" s="262">
        <v>773.1</v>
      </c>
      <c r="G37" s="262">
        <v>692.8</v>
      </c>
      <c r="H37" s="262">
        <v>1407.3</v>
      </c>
      <c r="I37" s="262">
        <v>5450.51</v>
      </c>
      <c r="J37" s="262">
        <v>1498.56</v>
      </c>
      <c r="K37" s="262">
        <v>4378.28</v>
      </c>
      <c r="L37" s="262">
        <v>1618.39</v>
      </c>
      <c r="M37" s="263">
        <v>1921.13</v>
      </c>
      <c r="N37" s="60">
        <f t="shared" si="0"/>
        <v>21756.61</v>
      </c>
      <c r="O37" s="19">
        <f>SUM('MTRT 2011'!B34:M34)</f>
        <v>22550.86</v>
      </c>
      <c r="P37" s="22">
        <f t="shared" si="2"/>
        <v>-3.5220386273516868E-2</v>
      </c>
      <c r="Q37" s="261" t="s">
        <v>208</v>
      </c>
    </row>
    <row r="38" spans="1:17">
      <c r="A38" s="261" t="s">
        <v>209</v>
      </c>
      <c r="B38" s="264">
        <v>1465.7</v>
      </c>
      <c r="C38" s="264">
        <v>620.15</v>
      </c>
      <c r="D38" s="265">
        <v>295.83999999999997</v>
      </c>
      <c r="E38" s="262">
        <v>1027.45</v>
      </c>
      <c r="F38" s="262">
        <v>752.63</v>
      </c>
      <c r="G38" s="262">
        <v>1921.24</v>
      </c>
      <c r="H38" s="262">
        <v>2515.08</v>
      </c>
      <c r="I38" s="262">
        <v>3585.75</v>
      </c>
      <c r="J38" s="262">
        <v>689.69</v>
      </c>
      <c r="K38" s="262">
        <v>2199.58</v>
      </c>
      <c r="L38" s="262">
        <v>3046.48</v>
      </c>
      <c r="M38" s="263">
        <v>1961.28</v>
      </c>
      <c r="N38" s="60">
        <f t="shared" si="0"/>
        <v>20080.87</v>
      </c>
      <c r="O38" s="19">
        <f>SUM('MTRT 2011'!B35:M35)</f>
        <v>18807.07</v>
      </c>
      <c r="P38" s="22">
        <f t="shared" si="2"/>
        <v>6.7729848402754866E-2</v>
      </c>
      <c r="Q38" s="261" t="s">
        <v>209</v>
      </c>
    </row>
    <row r="39" spans="1:17">
      <c r="A39" s="261" t="s">
        <v>212</v>
      </c>
      <c r="B39" s="264">
        <v>3191.3</v>
      </c>
      <c r="C39" s="264">
        <v>3518.63</v>
      </c>
      <c r="D39" s="265">
        <v>3099.34</v>
      </c>
      <c r="E39" s="262">
        <v>3356.26</v>
      </c>
      <c r="F39" s="262">
        <v>5086.0600000000004</v>
      </c>
      <c r="G39" s="262">
        <v>4448.5200000000004</v>
      </c>
      <c r="H39" s="262">
        <v>6012.64</v>
      </c>
      <c r="I39" s="262">
        <v>10655.72</v>
      </c>
      <c r="J39" s="262">
        <v>9341.66</v>
      </c>
      <c r="K39" s="262">
        <v>7567.04</v>
      </c>
      <c r="L39" s="262">
        <v>8950.42</v>
      </c>
      <c r="M39" s="263">
        <v>5440.2</v>
      </c>
      <c r="N39" s="60">
        <f t="shared" si="0"/>
        <v>70667.790000000008</v>
      </c>
      <c r="O39" s="19">
        <f>SUM('MTRT 2011'!B36:M36)</f>
        <v>55569.840000000004</v>
      </c>
      <c r="P39" s="22">
        <f t="shared" si="2"/>
        <v>0.27169324223355695</v>
      </c>
      <c r="Q39" s="261" t="s">
        <v>212</v>
      </c>
    </row>
    <row r="40" spans="1:17">
      <c r="A40" s="261" t="s">
        <v>213</v>
      </c>
      <c r="B40" s="264">
        <v>733.22299999999996</v>
      </c>
      <c r="C40" s="264">
        <v>858.21</v>
      </c>
      <c r="D40" s="265">
        <v>761.38</v>
      </c>
      <c r="E40" s="262">
        <v>596.29</v>
      </c>
      <c r="F40" s="262">
        <v>879.12</v>
      </c>
      <c r="G40" s="262">
        <v>796.5</v>
      </c>
      <c r="H40" s="262">
        <v>2304.63</v>
      </c>
      <c r="I40" s="262">
        <v>1095.83</v>
      </c>
      <c r="J40" s="262">
        <v>1554.91</v>
      </c>
      <c r="K40" s="262">
        <v>1547.93</v>
      </c>
      <c r="L40" s="262">
        <v>2531.81</v>
      </c>
      <c r="M40" s="263">
        <v>1051.8</v>
      </c>
      <c r="N40" s="60">
        <f>SUM(B40:M40)</f>
        <v>14711.633</v>
      </c>
      <c r="O40" s="19">
        <f>SUM('MTRT 2011'!B37:M37)</f>
        <v>10673.609999999999</v>
      </c>
      <c r="P40" s="22">
        <f t="shared" si="2"/>
        <v>0.37831839462000216</v>
      </c>
      <c r="Q40" s="261" t="s">
        <v>213</v>
      </c>
    </row>
    <row r="41" spans="1:17">
      <c r="A41" s="261" t="s">
        <v>216</v>
      </c>
      <c r="B41" s="264">
        <v>2635.79</v>
      </c>
      <c r="C41" s="264">
        <v>2897.65</v>
      </c>
      <c r="D41" s="265">
        <v>3437.51</v>
      </c>
      <c r="E41" s="262">
        <v>2818.56</v>
      </c>
      <c r="F41" s="262">
        <v>4202.45</v>
      </c>
      <c r="G41" s="262">
        <v>3154.91</v>
      </c>
      <c r="H41" s="262">
        <v>4302.6000000000004</v>
      </c>
      <c r="I41" s="262">
        <v>4674.18</v>
      </c>
      <c r="J41" s="262">
        <v>3509.96</v>
      </c>
      <c r="K41" s="262">
        <v>4075.44</v>
      </c>
      <c r="L41" s="262">
        <v>3793.37</v>
      </c>
      <c r="M41" s="263">
        <v>5498.24</v>
      </c>
      <c r="N41" s="60">
        <f t="shared" si="0"/>
        <v>45000.66</v>
      </c>
      <c r="O41" s="19">
        <f>SUM('MTRT 2011'!B38:M38)</f>
        <v>61663.850000000006</v>
      </c>
      <c r="P41" s="22">
        <f t="shared" si="2"/>
        <v>-0.2702262346577452</v>
      </c>
      <c r="Q41" s="261" t="s">
        <v>216</v>
      </c>
    </row>
    <row r="42" spans="1:17">
      <c r="A42" s="261" t="s">
        <v>218</v>
      </c>
      <c r="B42" s="264">
        <v>1003.8</v>
      </c>
      <c r="C42" s="264">
        <v>1301.4100000000001</v>
      </c>
      <c r="D42" s="265">
        <v>1129.3699999999999</v>
      </c>
      <c r="E42" s="262">
        <v>960.83</v>
      </c>
      <c r="F42" s="262">
        <v>1257.6099999999999</v>
      </c>
      <c r="G42" s="262">
        <v>1233.49</v>
      </c>
      <c r="H42" s="262">
        <v>1513.5</v>
      </c>
      <c r="I42" s="262">
        <v>1187.0999999999999</v>
      </c>
      <c r="J42" s="262">
        <v>1373.28</v>
      </c>
      <c r="K42" s="262">
        <v>1522.35</v>
      </c>
      <c r="L42" s="262">
        <v>1613.52</v>
      </c>
      <c r="M42" s="263">
        <v>985.7</v>
      </c>
      <c r="N42" s="60">
        <f t="shared" si="0"/>
        <v>15081.960000000001</v>
      </c>
      <c r="O42" s="19">
        <f>SUM('MTRT 2011'!B39:M39)</f>
        <v>3950.21</v>
      </c>
      <c r="P42" s="22">
        <f t="shared" si="2"/>
        <v>2.8180147384569429</v>
      </c>
      <c r="Q42" s="261"/>
    </row>
    <row r="43" spans="1:17">
      <c r="A43" s="261" t="s">
        <v>219</v>
      </c>
      <c r="B43" s="264">
        <v>8639.77</v>
      </c>
      <c r="C43" s="264">
        <v>9446.4</v>
      </c>
      <c r="D43" s="265">
        <v>12480.36</v>
      </c>
      <c r="E43" s="262">
        <v>8310.0499999999993</v>
      </c>
      <c r="F43" s="262">
        <v>12256.25</v>
      </c>
      <c r="G43" s="262">
        <v>17120.259999999998</v>
      </c>
      <c r="H43" s="262">
        <v>15953.26</v>
      </c>
      <c r="I43" s="262">
        <v>24967.23</v>
      </c>
      <c r="J43" s="262">
        <v>15727.71</v>
      </c>
      <c r="K43" s="262">
        <v>24003.58</v>
      </c>
      <c r="L43" s="262">
        <v>15284.42</v>
      </c>
      <c r="M43" s="263">
        <v>18171.810000000001</v>
      </c>
      <c r="N43" s="60">
        <f t="shared" si="0"/>
        <v>182361.1</v>
      </c>
      <c r="O43" s="19">
        <f>SUM('MTRT 2011'!B40:M40)</f>
        <v>59664.78</v>
      </c>
      <c r="P43" s="22">
        <f t="shared" si="2"/>
        <v>2.0564279295088328</v>
      </c>
      <c r="Q43" s="261"/>
    </row>
    <row r="44" spans="1:17">
      <c r="A44" s="261" t="s">
        <v>222</v>
      </c>
      <c r="B44" s="264">
        <v>7446.61</v>
      </c>
      <c r="C44" s="264">
        <v>3985.23</v>
      </c>
      <c r="D44" s="265">
        <v>5252.45</v>
      </c>
      <c r="E44" s="262">
        <v>5282.88</v>
      </c>
      <c r="F44" s="262">
        <v>6231.97</v>
      </c>
      <c r="G44" s="262">
        <v>5925.83</v>
      </c>
      <c r="H44" s="262">
        <v>4067.24</v>
      </c>
      <c r="I44" s="262">
        <v>11115.89</v>
      </c>
      <c r="J44" s="262">
        <v>3435.64</v>
      </c>
      <c r="K44" s="262">
        <v>8891.9599999999991</v>
      </c>
      <c r="L44" s="262">
        <v>9115.91</v>
      </c>
      <c r="M44" s="263">
        <v>4596.71</v>
      </c>
      <c r="N44" s="60">
        <f t="shared" si="0"/>
        <v>75348.320000000007</v>
      </c>
      <c r="O44" s="19">
        <f>SUM('MTRT 2011'!B41:M41)</f>
        <v>21508.079999999998</v>
      </c>
      <c r="P44" s="22">
        <f t="shared" si="2"/>
        <v>2.5032564505990313</v>
      </c>
      <c r="Q44" s="261"/>
    </row>
    <row r="45" spans="1:17">
      <c r="A45" s="261" t="s">
        <v>223</v>
      </c>
      <c r="B45" s="264">
        <v>0</v>
      </c>
      <c r="C45" s="264">
        <v>0</v>
      </c>
      <c r="D45" s="265">
        <v>78.39</v>
      </c>
      <c r="E45" s="262">
        <v>0</v>
      </c>
      <c r="F45" s="262">
        <v>37.799999999999997</v>
      </c>
      <c r="G45" s="262">
        <v>0</v>
      </c>
      <c r="H45" s="262">
        <v>37.799999999999997</v>
      </c>
      <c r="I45" s="262">
        <v>0</v>
      </c>
      <c r="J45" s="262">
        <v>0</v>
      </c>
      <c r="K45" s="262">
        <v>165.66</v>
      </c>
      <c r="L45" s="262">
        <v>0</v>
      </c>
      <c r="M45" s="263">
        <v>45.24</v>
      </c>
      <c r="N45" s="60">
        <f t="shared" si="0"/>
        <v>364.89</v>
      </c>
      <c r="O45" s="19"/>
      <c r="P45" s="22"/>
      <c r="Q45" s="261"/>
    </row>
    <row r="46" spans="1:17">
      <c r="A46" s="261" t="s">
        <v>224</v>
      </c>
      <c r="B46" s="264">
        <v>6561.31</v>
      </c>
      <c r="C46" s="264">
        <v>4720.4799999999996</v>
      </c>
      <c r="D46" s="265">
        <v>5664.72</v>
      </c>
      <c r="E46" s="262">
        <v>6475.03</v>
      </c>
      <c r="F46" s="262">
        <v>10548.65</v>
      </c>
      <c r="G46" s="262">
        <v>8125.8</v>
      </c>
      <c r="H46" s="262">
        <v>10708.98</v>
      </c>
      <c r="I46" s="262">
        <v>10975.71</v>
      </c>
      <c r="J46" s="262">
        <v>11041.94</v>
      </c>
      <c r="K46" s="262">
        <v>12557.54</v>
      </c>
      <c r="L46" s="262">
        <v>8013.68</v>
      </c>
      <c r="M46" s="263">
        <v>9623.07</v>
      </c>
      <c r="N46" s="60">
        <f t="shared" si="0"/>
        <v>105016.91</v>
      </c>
      <c r="O46" s="19">
        <f>SUM('MTRT 2011'!B43:M43)</f>
        <v>91580.71</v>
      </c>
      <c r="P46" s="22">
        <f t="shared" si="2"/>
        <v>0.1467143026080493</v>
      </c>
      <c r="Q46" s="261" t="s">
        <v>224</v>
      </c>
    </row>
    <row r="47" spans="1:17">
      <c r="A47" s="261" t="s">
        <v>225</v>
      </c>
      <c r="B47" s="264">
        <v>585.79999999999995</v>
      </c>
      <c r="C47" s="264">
        <v>467.98</v>
      </c>
      <c r="D47" s="265">
        <v>508.58</v>
      </c>
      <c r="E47" s="262">
        <v>510.83</v>
      </c>
      <c r="F47" s="262">
        <v>613.41</v>
      </c>
      <c r="G47" s="262">
        <v>712.87</v>
      </c>
      <c r="H47" s="262">
        <v>708.92</v>
      </c>
      <c r="I47" s="262">
        <v>819.38</v>
      </c>
      <c r="J47" s="262">
        <v>819.24</v>
      </c>
      <c r="K47" s="262">
        <v>877.58</v>
      </c>
      <c r="L47" s="262">
        <v>716.67</v>
      </c>
      <c r="M47" s="263">
        <v>960.78</v>
      </c>
      <c r="N47" s="60">
        <f t="shared" si="0"/>
        <v>8302.0399999999991</v>
      </c>
      <c r="O47" s="19">
        <f>SUM('MTRT 2011'!B44:M44)</f>
        <v>3513.5299999999997</v>
      </c>
      <c r="P47" s="22">
        <f t="shared" si="2"/>
        <v>1.3628772203453505</v>
      </c>
      <c r="Q47" s="261"/>
    </row>
    <row r="48" spans="1:17">
      <c r="A48" s="261" t="s">
        <v>226</v>
      </c>
      <c r="B48" s="264">
        <v>17628.86</v>
      </c>
      <c r="C48" s="264">
        <v>21946.29</v>
      </c>
      <c r="D48" s="265">
        <v>22587.15</v>
      </c>
      <c r="E48" s="262">
        <v>9922.76</v>
      </c>
      <c r="F48" s="262">
        <v>23144.81</v>
      </c>
      <c r="G48" s="262">
        <v>19869.439999999999</v>
      </c>
      <c r="H48" s="262">
        <v>23450.67</v>
      </c>
      <c r="I48" s="262">
        <v>34500.85</v>
      </c>
      <c r="J48" s="262">
        <v>37452.370000000003</v>
      </c>
      <c r="K48" s="262">
        <v>33465.760000000002</v>
      </c>
      <c r="L48" s="262">
        <v>39886.89</v>
      </c>
      <c r="M48" s="263">
        <v>27562.71</v>
      </c>
      <c r="N48" s="60">
        <f t="shared" si="0"/>
        <v>311418.56</v>
      </c>
      <c r="O48" s="19">
        <f>SUM('MTRT 2011'!B45:M45)</f>
        <v>115613.38</v>
      </c>
      <c r="P48" s="22">
        <f t="shared" si="2"/>
        <v>1.6936204096792258</v>
      </c>
      <c r="Q48" s="261"/>
    </row>
    <row r="49" spans="1:17">
      <c r="A49" s="261" t="s">
        <v>227</v>
      </c>
      <c r="B49" s="264">
        <v>1873.63</v>
      </c>
      <c r="C49" s="264">
        <v>2564.64</v>
      </c>
      <c r="D49" s="265">
        <v>428.66</v>
      </c>
      <c r="E49" s="262">
        <v>653.23</v>
      </c>
      <c r="F49" s="262">
        <v>1094.6400000000001</v>
      </c>
      <c r="G49" s="262">
        <v>3381.19</v>
      </c>
      <c r="H49" s="262">
        <v>3205.95</v>
      </c>
      <c r="I49" s="262">
        <v>3481.38</v>
      </c>
      <c r="J49" s="262">
        <v>2664.38</v>
      </c>
      <c r="K49" s="262">
        <v>2416.36</v>
      </c>
      <c r="L49" s="262">
        <v>2881.49</v>
      </c>
      <c r="M49" s="263">
        <v>801.13</v>
      </c>
      <c r="N49" s="60">
        <f t="shared" si="0"/>
        <v>25446.680000000004</v>
      </c>
      <c r="O49" s="19">
        <f>SUM('MTRT 2011'!B46:M46)</f>
        <v>24389.29</v>
      </c>
      <c r="P49" s="22">
        <f t="shared" si="2"/>
        <v>4.3354685601753928E-2</v>
      </c>
      <c r="Q49" s="261" t="s">
        <v>227</v>
      </c>
    </row>
    <row r="50" spans="1:17">
      <c r="A50" s="261" t="s">
        <v>229</v>
      </c>
      <c r="B50" s="264">
        <v>1281.72</v>
      </c>
      <c r="C50" s="264">
        <v>2249.23</v>
      </c>
      <c r="D50" s="265">
        <v>2148.9699999999998</v>
      </c>
      <c r="E50" s="262">
        <v>3716.07</v>
      </c>
      <c r="F50" s="262">
        <v>2029.85</v>
      </c>
      <c r="G50" s="262">
        <v>1065.31</v>
      </c>
      <c r="H50" s="262">
        <v>1420.75</v>
      </c>
      <c r="I50" s="262">
        <v>2901.17</v>
      </c>
      <c r="J50" s="262">
        <v>2002.48</v>
      </c>
      <c r="K50" s="262">
        <v>2524.56</v>
      </c>
      <c r="L50" s="262">
        <v>2745</v>
      </c>
      <c r="M50" s="263">
        <v>1244.48</v>
      </c>
      <c r="N50" s="60">
        <f t="shared" si="0"/>
        <v>25329.59</v>
      </c>
      <c r="O50" s="19">
        <f>SUM('MTRT 2011'!B47:M47)</f>
        <v>24475.070000000003</v>
      </c>
      <c r="P50" s="22">
        <f t="shared" si="2"/>
        <v>3.4913894015420555E-2</v>
      </c>
      <c r="Q50" s="261" t="s">
        <v>229</v>
      </c>
    </row>
    <row r="51" spans="1:17">
      <c r="A51" s="261" t="s">
        <v>230</v>
      </c>
      <c r="B51" s="262">
        <v>1383.83</v>
      </c>
      <c r="C51" s="262">
        <v>1349.4</v>
      </c>
      <c r="D51" s="265">
        <v>644.02</v>
      </c>
      <c r="E51" s="262">
        <v>7623.93</v>
      </c>
      <c r="F51" s="262">
        <v>7395.6</v>
      </c>
      <c r="G51" s="262">
        <v>2989.23</v>
      </c>
      <c r="H51" s="262">
        <v>4078.79</v>
      </c>
      <c r="I51" s="262">
        <v>6419.55</v>
      </c>
      <c r="J51" s="262">
        <v>5978.6</v>
      </c>
      <c r="K51" s="262">
        <v>7237.1</v>
      </c>
      <c r="L51" s="262">
        <v>5819.74</v>
      </c>
      <c r="M51" s="263">
        <v>3678.99</v>
      </c>
      <c r="N51" s="60">
        <f t="shared" si="0"/>
        <v>54598.779999999992</v>
      </c>
      <c r="O51" s="19">
        <f>SUM('MTRT 2011'!B48:M48)</f>
        <v>63181.570000000007</v>
      </c>
      <c r="P51" s="22">
        <f t="shared" si="2"/>
        <v>-0.13584325302457689</v>
      </c>
      <c r="Q51" s="261" t="s">
        <v>230</v>
      </c>
    </row>
    <row r="52" spans="1:17">
      <c r="A52" s="261" t="s">
        <v>232</v>
      </c>
      <c r="B52" s="262">
        <v>1533.5</v>
      </c>
      <c r="C52" s="262">
        <v>2439.67</v>
      </c>
      <c r="D52" s="265">
        <v>753.17</v>
      </c>
      <c r="E52" s="262">
        <v>2156.85</v>
      </c>
      <c r="F52" s="262">
        <v>3428.07</v>
      </c>
      <c r="G52" s="262">
        <v>2881.67</v>
      </c>
      <c r="H52" s="262">
        <v>3444.94</v>
      </c>
      <c r="I52" s="262">
        <v>7730.42</v>
      </c>
      <c r="J52" s="262">
        <v>1635.76</v>
      </c>
      <c r="K52" s="262">
        <v>4988.75</v>
      </c>
      <c r="L52" s="262">
        <v>3938.87</v>
      </c>
      <c r="M52" s="263">
        <v>2972.99</v>
      </c>
      <c r="N52" s="60">
        <f t="shared" si="0"/>
        <v>37904.659999999996</v>
      </c>
      <c r="O52" s="19">
        <f>SUM('MTRT 2011'!B49:M49)</f>
        <v>22015.42</v>
      </c>
      <c r="P52" s="22">
        <f t="shared" si="2"/>
        <v>0.72173231307874208</v>
      </c>
      <c r="Q52" s="261" t="s">
        <v>232</v>
      </c>
    </row>
    <row r="53" spans="1:17">
      <c r="A53" s="261" t="s">
        <v>233</v>
      </c>
      <c r="B53" s="264">
        <v>5450.28</v>
      </c>
      <c r="C53" s="264">
        <v>4527.5600000000004</v>
      </c>
      <c r="D53" s="265">
        <v>2992.49</v>
      </c>
      <c r="E53" s="262">
        <v>4716.0600000000004</v>
      </c>
      <c r="F53" s="262">
        <v>7852.53</v>
      </c>
      <c r="G53" s="262">
        <v>8090.39</v>
      </c>
      <c r="H53" s="262">
        <v>10618.29</v>
      </c>
      <c r="I53" s="262">
        <v>7658.84</v>
      </c>
      <c r="J53" s="262">
        <v>5583.12</v>
      </c>
      <c r="K53" s="262">
        <v>6101.5</v>
      </c>
      <c r="L53" s="262">
        <v>7441.53</v>
      </c>
      <c r="M53" s="263">
        <v>9317.4599999999991</v>
      </c>
      <c r="N53" s="60">
        <f t="shared" si="0"/>
        <v>80350.050000000017</v>
      </c>
      <c r="O53" s="19">
        <f>SUM('MTRT 2011'!B50:M50)</f>
        <v>65836.36</v>
      </c>
      <c r="P53" s="22">
        <f t="shared" si="2"/>
        <v>0.22045097876006525</v>
      </c>
      <c r="Q53" s="261" t="s">
        <v>233</v>
      </c>
    </row>
    <row r="54" spans="1:17">
      <c r="A54" s="261" t="s">
        <v>234</v>
      </c>
      <c r="B54" s="264">
        <v>0</v>
      </c>
      <c r="C54" s="264">
        <v>0</v>
      </c>
      <c r="D54" s="265">
        <v>0</v>
      </c>
      <c r="E54" s="262">
        <v>0</v>
      </c>
      <c r="F54" s="262">
        <v>0</v>
      </c>
      <c r="G54" s="262">
        <v>0</v>
      </c>
      <c r="H54" s="262">
        <v>0</v>
      </c>
      <c r="I54" s="262">
        <v>0</v>
      </c>
      <c r="J54" s="262">
        <v>0</v>
      </c>
      <c r="K54" s="262">
        <v>797.15</v>
      </c>
      <c r="L54" s="262">
        <v>78.709999999999994</v>
      </c>
      <c r="M54" s="263">
        <v>0</v>
      </c>
      <c r="N54" s="60">
        <f t="shared" si="0"/>
        <v>875.86</v>
      </c>
      <c r="O54" s="19"/>
      <c r="P54" s="22"/>
      <c r="Q54" s="261"/>
    </row>
    <row r="55" spans="1:17">
      <c r="A55" s="261" t="s">
        <v>235</v>
      </c>
      <c r="B55" s="264">
        <v>0</v>
      </c>
      <c r="C55" s="264">
        <v>0</v>
      </c>
      <c r="D55" s="265">
        <v>0</v>
      </c>
      <c r="E55" s="262">
        <v>5.56</v>
      </c>
      <c r="F55" s="262">
        <v>51.47</v>
      </c>
      <c r="G55" s="262">
        <v>26.09</v>
      </c>
      <c r="H55" s="262">
        <v>0</v>
      </c>
      <c r="I55" s="262">
        <v>663.11</v>
      </c>
      <c r="J55" s="262">
        <v>7.48</v>
      </c>
      <c r="K55" s="262">
        <v>153.13</v>
      </c>
      <c r="L55" s="262">
        <v>704.34</v>
      </c>
      <c r="M55" s="263">
        <v>0</v>
      </c>
      <c r="N55" s="60">
        <f t="shared" si="0"/>
        <v>1611.18</v>
      </c>
      <c r="O55" s="19"/>
      <c r="P55" s="22"/>
      <c r="Q55" s="261"/>
    </row>
    <row r="56" spans="1:17">
      <c r="A56" s="261" t="s">
        <v>236</v>
      </c>
      <c r="B56" s="262">
        <v>24846.87</v>
      </c>
      <c r="C56" s="262">
        <v>26192.59</v>
      </c>
      <c r="D56" s="265">
        <v>24740.73</v>
      </c>
      <c r="E56" s="262">
        <v>32432.47</v>
      </c>
      <c r="F56" s="262">
        <v>56836.82</v>
      </c>
      <c r="G56" s="262">
        <v>41133.9</v>
      </c>
      <c r="H56" s="262">
        <v>39970.46</v>
      </c>
      <c r="I56" s="262">
        <v>52620.28</v>
      </c>
      <c r="J56" s="262">
        <v>33749.31</v>
      </c>
      <c r="K56" s="262">
        <v>31799.53</v>
      </c>
      <c r="L56" s="262">
        <v>50721.58</v>
      </c>
      <c r="M56" s="263">
        <v>42962.27</v>
      </c>
      <c r="N56" s="60">
        <f t="shared" si="0"/>
        <v>458006.81</v>
      </c>
      <c r="O56" s="19">
        <f>SUM('MTRT 2011'!B52:M52)</f>
        <v>364667.05000000005</v>
      </c>
      <c r="P56" s="22">
        <f t="shared" si="2"/>
        <v>0.25595885342533675</v>
      </c>
      <c r="Q56" s="261" t="s">
        <v>236</v>
      </c>
    </row>
    <row r="57" spans="1:17">
      <c r="A57" s="261" t="s">
        <v>237</v>
      </c>
      <c r="B57" s="262">
        <v>40.18</v>
      </c>
      <c r="C57" s="262">
        <v>82.67</v>
      </c>
      <c r="D57" s="265">
        <v>0</v>
      </c>
      <c r="E57" s="262">
        <v>38.69</v>
      </c>
      <c r="F57" s="262">
        <v>32.74</v>
      </c>
      <c r="G57" s="262">
        <v>0</v>
      </c>
      <c r="H57" s="262">
        <v>85.06</v>
      </c>
      <c r="I57" s="262">
        <v>92.12</v>
      </c>
      <c r="J57" s="262">
        <v>0</v>
      </c>
      <c r="K57" s="262">
        <v>355.9</v>
      </c>
      <c r="L57" s="262">
        <v>109.22</v>
      </c>
      <c r="M57" s="263">
        <v>274.44</v>
      </c>
      <c r="N57" s="60">
        <f t="shared" si="0"/>
        <v>1111.02</v>
      </c>
      <c r="O57" s="19">
        <f>SUM('MTRT 2011'!B53:M53)</f>
        <v>762.57</v>
      </c>
      <c r="P57" s="22">
        <f t="shared" si="2"/>
        <v>0.45694165781502005</v>
      </c>
      <c r="Q57" s="261" t="s">
        <v>237</v>
      </c>
    </row>
    <row r="58" spans="1:17">
      <c r="A58" s="261" t="s">
        <v>238</v>
      </c>
      <c r="B58" s="262">
        <v>7133.52</v>
      </c>
      <c r="C58" s="262">
        <v>8803.5300000000007</v>
      </c>
      <c r="D58" s="265">
        <v>2708.52</v>
      </c>
      <c r="E58" s="262">
        <v>7581.28</v>
      </c>
      <c r="F58" s="262">
        <v>12544.38</v>
      </c>
      <c r="G58" s="262">
        <v>18937.48</v>
      </c>
      <c r="H58" s="262">
        <v>35097.29</v>
      </c>
      <c r="I58" s="262">
        <v>33866.959999999999</v>
      </c>
      <c r="J58" s="262">
        <v>19753.54</v>
      </c>
      <c r="K58" s="271">
        <v>32283.02</v>
      </c>
      <c r="L58" s="262">
        <v>26311.599999999999</v>
      </c>
      <c r="M58" s="263">
        <v>19579.080000000002</v>
      </c>
      <c r="N58" s="60">
        <f t="shared" si="0"/>
        <v>224600.2</v>
      </c>
      <c r="O58" s="19">
        <f>SUM('MTRT 2011'!B54:M54)</f>
        <v>194591.73000000004</v>
      </c>
      <c r="P58" s="22">
        <f t="shared" si="2"/>
        <v>0.15421246319152404</v>
      </c>
      <c r="Q58" s="261" t="s">
        <v>238</v>
      </c>
    </row>
    <row r="59" spans="1:17">
      <c r="A59" s="261" t="s">
        <v>239</v>
      </c>
      <c r="B59" s="262">
        <v>0</v>
      </c>
      <c r="C59" s="262">
        <v>0</v>
      </c>
      <c r="D59" s="265">
        <v>0</v>
      </c>
      <c r="E59" s="262">
        <v>0</v>
      </c>
      <c r="F59" s="262">
        <v>0</v>
      </c>
      <c r="G59" s="262">
        <v>0</v>
      </c>
      <c r="H59" s="262">
        <v>0</v>
      </c>
      <c r="I59" s="262">
        <v>0</v>
      </c>
      <c r="J59" s="262">
        <v>0</v>
      </c>
      <c r="K59" s="262">
        <v>0</v>
      </c>
      <c r="L59" s="262">
        <v>0</v>
      </c>
      <c r="M59" s="263">
        <v>0</v>
      </c>
      <c r="N59" s="60">
        <f t="shared" si="0"/>
        <v>0</v>
      </c>
      <c r="O59" s="19"/>
      <c r="P59" s="22"/>
      <c r="Q59" s="261"/>
    </row>
    <row r="60" spans="1:17">
      <c r="A60" s="261" t="s">
        <v>240</v>
      </c>
      <c r="B60" s="262">
        <v>174.46</v>
      </c>
      <c r="C60" s="262">
        <v>45.04</v>
      </c>
      <c r="D60" s="265">
        <v>86.48</v>
      </c>
      <c r="E60" s="262">
        <v>127.54</v>
      </c>
      <c r="F60" s="262">
        <v>0</v>
      </c>
      <c r="G60" s="262">
        <v>598.5</v>
      </c>
      <c r="H60" s="262">
        <v>10.81</v>
      </c>
      <c r="I60" s="262">
        <v>2837.67</v>
      </c>
      <c r="J60" s="262">
        <v>1495.54</v>
      </c>
      <c r="K60" s="262">
        <v>1461.69</v>
      </c>
      <c r="L60" s="262">
        <v>1123.49</v>
      </c>
      <c r="M60" s="263">
        <v>975.02</v>
      </c>
      <c r="N60" s="60">
        <f t="shared" si="0"/>
        <v>8936.24</v>
      </c>
      <c r="O60" s="19">
        <f>SUM('MTRT 2011'!B56:M56)</f>
        <v>6211.49</v>
      </c>
      <c r="P60" s="22">
        <f t="shared" si="2"/>
        <v>0.43866286510965979</v>
      </c>
      <c r="Q60" s="261" t="s">
        <v>240</v>
      </c>
    </row>
    <row r="61" spans="1:17">
      <c r="A61" s="261" t="s">
        <v>242</v>
      </c>
      <c r="B61" s="262">
        <v>323.83999999999997</v>
      </c>
      <c r="C61" s="262">
        <v>86.89</v>
      </c>
      <c r="D61" s="265">
        <v>233.8</v>
      </c>
      <c r="E61" s="262">
        <v>264.77999999999997</v>
      </c>
      <c r="F61" s="262">
        <v>315.92</v>
      </c>
      <c r="G61" s="262">
        <v>522.30999999999995</v>
      </c>
      <c r="H61" s="262">
        <v>646.85</v>
      </c>
      <c r="I61" s="262">
        <v>861.05</v>
      </c>
      <c r="J61" s="262">
        <v>501.56</v>
      </c>
      <c r="K61" s="262">
        <v>464.78</v>
      </c>
      <c r="L61" s="262">
        <v>365.44</v>
      </c>
      <c r="M61" s="263">
        <v>372.93</v>
      </c>
      <c r="N61" s="60">
        <f t="shared" si="0"/>
        <v>4960.1499999999996</v>
      </c>
      <c r="O61" s="19">
        <f>SUM('MTRT 2011'!B57:M57)</f>
        <v>5021.3200000000006</v>
      </c>
      <c r="P61" s="22">
        <f t="shared" si="2"/>
        <v>-1.218205571443387E-2</v>
      </c>
      <c r="Q61" s="267" t="s">
        <v>242</v>
      </c>
    </row>
    <row r="62" spans="1:17">
      <c r="A62" s="261" t="s">
        <v>244</v>
      </c>
      <c r="B62" s="264">
        <v>2222.67</v>
      </c>
      <c r="C62" s="264">
        <v>1054.18</v>
      </c>
      <c r="D62" s="265">
        <v>319.67</v>
      </c>
      <c r="E62" s="262">
        <v>1491.71</v>
      </c>
      <c r="F62" s="262">
        <v>2032.43</v>
      </c>
      <c r="G62" s="262">
        <v>1906.72</v>
      </c>
      <c r="H62" s="262">
        <v>2232.2399999999998</v>
      </c>
      <c r="I62" s="262">
        <v>4460.8999999999996</v>
      </c>
      <c r="J62" s="262">
        <v>638.35</v>
      </c>
      <c r="K62" s="262">
        <v>3098.01</v>
      </c>
      <c r="L62" s="262">
        <v>2537.17</v>
      </c>
      <c r="M62" s="263">
        <v>1731.97</v>
      </c>
      <c r="N62" s="60">
        <f t="shared" si="0"/>
        <v>23726.020000000004</v>
      </c>
      <c r="O62" s="19">
        <f>SUM('MTRT 2011'!B58:M58)</f>
        <v>24394.11</v>
      </c>
      <c r="P62" s="22">
        <f t="shared" si="2"/>
        <v>-2.7387348831336644E-2</v>
      </c>
      <c r="Q62" s="267" t="s">
        <v>244</v>
      </c>
    </row>
    <row r="63" spans="1:17">
      <c r="A63" s="261" t="s">
        <v>245</v>
      </c>
      <c r="B63" s="264">
        <v>10538.61</v>
      </c>
      <c r="C63" s="264">
        <v>3519.31</v>
      </c>
      <c r="D63" s="265">
        <v>6762.6</v>
      </c>
      <c r="E63" s="262">
        <v>14199.03</v>
      </c>
      <c r="F63" s="262">
        <v>9333.74</v>
      </c>
      <c r="G63" s="262">
        <v>6946.58</v>
      </c>
      <c r="H63" s="262">
        <v>9534.3799999999992</v>
      </c>
      <c r="I63" s="262">
        <v>10560.28</v>
      </c>
      <c r="J63" s="262">
        <v>10053.9</v>
      </c>
      <c r="K63" s="262">
        <v>12425.94</v>
      </c>
      <c r="L63" s="262">
        <v>13415.11</v>
      </c>
      <c r="M63" s="263">
        <v>8427.2099999999991</v>
      </c>
      <c r="N63" s="60">
        <f t="shared" si="0"/>
        <v>115716.69</v>
      </c>
      <c r="O63" s="19">
        <f>SUM('MTRT 2011'!B59:M59)</f>
        <v>107422.84000000001</v>
      </c>
      <c r="P63" s="22">
        <f t="shared" si="2"/>
        <v>7.7207510060244067E-2</v>
      </c>
      <c r="Q63" s="267" t="s">
        <v>245</v>
      </c>
    </row>
    <row r="64" spans="1:17">
      <c r="A64" s="261" t="s">
        <v>246</v>
      </c>
      <c r="B64" s="264">
        <v>565.77</v>
      </c>
      <c r="C64" s="264">
        <v>548.85</v>
      </c>
      <c r="D64" s="265">
        <v>497.78</v>
      </c>
      <c r="E64" s="262">
        <v>525.29999999999995</v>
      </c>
      <c r="F64" s="262">
        <v>685.88</v>
      </c>
      <c r="G64" s="262">
        <v>818.04</v>
      </c>
      <c r="H64" s="262">
        <v>846.83</v>
      </c>
      <c r="I64" s="262">
        <v>960.36</v>
      </c>
      <c r="J64" s="262">
        <v>0</v>
      </c>
      <c r="K64" s="262">
        <v>928.59</v>
      </c>
      <c r="L64" s="262">
        <v>1895.31</v>
      </c>
      <c r="M64" s="263">
        <v>709.01</v>
      </c>
      <c r="N64" s="60">
        <f t="shared" si="0"/>
        <v>8981.7199999999993</v>
      </c>
      <c r="O64" s="19">
        <f>SUM('MTRT 2011'!B60:M60)</f>
        <v>8725.2999999999993</v>
      </c>
      <c r="P64" s="22">
        <f t="shared" si="2"/>
        <v>2.9388101268724265E-2</v>
      </c>
      <c r="Q64" s="267" t="s">
        <v>246</v>
      </c>
    </row>
    <row r="65" spans="1:17">
      <c r="A65" s="261" t="s">
        <v>247</v>
      </c>
      <c r="B65" s="264">
        <v>1023.68</v>
      </c>
      <c r="C65" s="264">
        <v>0</v>
      </c>
      <c r="D65" s="265">
        <v>595.82000000000005</v>
      </c>
      <c r="E65" s="262">
        <v>563.80999999999995</v>
      </c>
      <c r="F65" s="262">
        <v>744.67</v>
      </c>
      <c r="G65" s="262">
        <v>711.17</v>
      </c>
      <c r="H65" s="262">
        <v>705.85</v>
      </c>
      <c r="I65" s="262">
        <v>1817.54</v>
      </c>
      <c r="J65" s="262">
        <v>0</v>
      </c>
      <c r="K65" s="262">
        <v>1815.8</v>
      </c>
      <c r="L65" s="262">
        <v>0</v>
      </c>
      <c r="M65" s="263">
        <v>1090.24</v>
      </c>
      <c r="N65" s="60">
        <f t="shared" si="0"/>
        <v>9068.58</v>
      </c>
      <c r="O65" s="19">
        <f>SUM('MTRT 2011'!B61:M61)</f>
        <v>2328.2600000000002</v>
      </c>
      <c r="P65" s="22">
        <f t="shared" si="2"/>
        <v>2.8950031353886589</v>
      </c>
      <c r="Q65" s="267"/>
    </row>
    <row r="66" spans="1:17">
      <c r="A66" s="261" t="s">
        <v>248</v>
      </c>
      <c r="B66" s="264">
        <v>6719.6</v>
      </c>
      <c r="C66" s="264">
        <v>2639.79</v>
      </c>
      <c r="D66" s="265">
        <v>2091.5</v>
      </c>
      <c r="E66" s="262">
        <v>3659.64</v>
      </c>
      <c r="F66" s="262">
        <v>5787.87</v>
      </c>
      <c r="G66" s="262">
        <v>3513</v>
      </c>
      <c r="H66" s="262">
        <v>4827.1400000000003</v>
      </c>
      <c r="I66" s="262">
        <v>6718.88</v>
      </c>
      <c r="J66" s="262">
        <v>4914.5600000000004</v>
      </c>
      <c r="K66" s="262">
        <v>5721.82</v>
      </c>
      <c r="L66" s="262">
        <v>6386.46</v>
      </c>
      <c r="M66" s="263">
        <v>2519.71</v>
      </c>
      <c r="N66" s="60">
        <f t="shared" si="0"/>
        <v>55499.969999999994</v>
      </c>
      <c r="O66" s="19">
        <f>SUM('MTRT 2011'!B62:M62)</f>
        <v>47707.739999999991</v>
      </c>
      <c r="P66" s="22">
        <f t="shared" si="2"/>
        <v>0.16333261646852271</v>
      </c>
      <c r="Q66" s="267" t="s">
        <v>248</v>
      </c>
    </row>
    <row r="67" spans="1:17" ht="13" thickBot="1">
      <c r="A67" s="272" t="s">
        <v>54</v>
      </c>
      <c r="B67" s="273">
        <f>SUM(B4:B66)</f>
        <v>341854.973</v>
      </c>
      <c r="C67" s="273">
        <f t="shared" ref="C67:N67" si="3">SUM(C4:C66)</f>
        <v>375412.87</v>
      </c>
      <c r="D67" s="273">
        <f t="shared" si="3"/>
        <v>410949.27999999997</v>
      </c>
      <c r="E67" s="273">
        <f t="shared" si="3"/>
        <v>442414.25000000006</v>
      </c>
      <c r="F67" s="273">
        <f t="shared" si="3"/>
        <v>643202.16999999993</v>
      </c>
      <c r="G67" s="273">
        <f t="shared" si="3"/>
        <v>545197.30000000005</v>
      </c>
      <c r="H67" s="273">
        <f t="shared" si="3"/>
        <v>629384.49</v>
      </c>
      <c r="I67" s="273">
        <f t="shared" si="3"/>
        <v>787108.21000000008</v>
      </c>
      <c r="J67" s="273">
        <f t="shared" si="3"/>
        <v>577333.2200000002</v>
      </c>
      <c r="K67" s="273">
        <f t="shared" si="3"/>
        <v>696361.19000000006</v>
      </c>
      <c r="L67" s="273">
        <f t="shared" si="3"/>
        <v>716525.5</v>
      </c>
      <c r="M67" s="273">
        <f t="shared" si="3"/>
        <v>564530.97</v>
      </c>
      <c r="N67" s="273">
        <f t="shared" si="3"/>
        <v>6730274.4230000004</v>
      </c>
      <c r="O67" s="273">
        <f>SUM(O4:O66)</f>
        <v>3893193.4129999978</v>
      </c>
      <c r="P67" s="279"/>
      <c r="Q67" s="275"/>
    </row>
    <row r="68" spans="1:17">
      <c r="A68" s="276"/>
      <c r="B68" s="28">
        <f>B67/'MTRT 2011'!B63-1</f>
        <v>1.1463044013699739</v>
      </c>
      <c r="C68" s="28">
        <f>C67/'MTRT 2011'!C63-1</f>
        <v>1.6380683115402683</v>
      </c>
      <c r="D68" s="28">
        <f>D67/'MTRT 2011'!D63-1</f>
        <v>2.2778566457054699</v>
      </c>
      <c r="E68" s="28">
        <f>E67/'MTRT 2011'!E63-1</f>
        <v>1.9643564371030586</v>
      </c>
      <c r="F68" s="28">
        <f>F67/'MTRT 2011'!F63-1</f>
        <v>1.9182397901197401</v>
      </c>
      <c r="G68" s="28">
        <f>G67/'MTRT 2011'!G63-1</f>
        <v>0.78069856902589452</v>
      </c>
      <c r="H68" s="28">
        <f>H67/'MTRT 2011'!H63-1</f>
        <v>1.8098515358221592</v>
      </c>
      <c r="I68" s="28">
        <f>I67/'MTRT 2011'!I63-1</f>
        <v>1.6746104134671476</v>
      </c>
      <c r="J68" s="28">
        <f>J67/'MTRT 2011'!J63-1</f>
        <v>7.990870180689047E-2</v>
      </c>
      <c r="K68" s="28">
        <f>K67/'MTRT 2011'!K63-1</f>
        <v>0.12785113565657924</v>
      </c>
      <c r="L68" s="28">
        <f>L67/'MTRT 2011'!L63-1</f>
        <v>0.19312827199412519</v>
      </c>
      <c r="M68" s="28">
        <f>M67/'MTRT 2011'!M63-1</f>
        <v>8.6562482749722003E-2</v>
      </c>
      <c r="N68" s="277"/>
      <c r="O68" s="1"/>
      <c r="P68" s="1"/>
      <c r="Q68" s="278"/>
    </row>
    <row r="69" spans="1:17">
      <c r="A69" s="280"/>
      <c r="C69" s="48"/>
      <c r="F69" s="48"/>
      <c r="I69" s="100"/>
    </row>
    <row r="70" spans="1:17">
      <c r="M70" s="245"/>
    </row>
    <row r="71" spans="1:17">
      <c r="I71" s="100"/>
    </row>
    <row r="72" spans="1:17">
      <c r="A72" s="281"/>
      <c r="B72" s="247"/>
    </row>
    <row r="73" spans="1:17" ht="13" thickBot="1">
      <c r="A73" s="246"/>
      <c r="B73" s="247"/>
      <c r="F73" s="243"/>
      <c r="P73" s="279"/>
    </row>
    <row r="74" spans="1:17" ht="13" thickBot="1">
      <c r="F74" s="243"/>
      <c r="P74" s="279"/>
    </row>
    <row r="75" spans="1:17">
      <c r="F75" s="243"/>
    </row>
    <row r="76" spans="1:17">
      <c r="L76" s="249"/>
    </row>
    <row r="77" spans="1:17">
      <c r="L77" s="118"/>
    </row>
    <row r="78" spans="1:17">
      <c r="L78" s="227"/>
    </row>
  </sheetData>
  <mergeCells count="1">
    <mergeCell ref="A1:P1"/>
  </mergeCells>
  <printOptions horizontalCentered="1"/>
  <pageMargins left="0" right="0" top="0" bottom="0" header="0" footer="0"/>
  <pageSetup scale="9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 enableFormatConditionsCalculation="0">
    <tabColor rgb="FF00B050"/>
  </sheetPr>
  <dimension ref="A1:Q74"/>
  <sheetViews>
    <sheetView workbookViewId="0">
      <pane xSplit="1" ySplit="1" topLeftCell="B38" activePane="bottomRight" state="frozen"/>
      <selection activeCell="J52" sqref="J52"/>
      <selection pane="topRight" activeCell="J52" sqref="J52"/>
      <selection pane="bottomLeft" activeCell="J52" sqref="J52"/>
      <selection pane="bottomRight" activeCell="J52" sqref="J52"/>
    </sheetView>
  </sheetViews>
  <sheetFormatPr baseColWidth="10" defaultColWidth="8.83203125" defaultRowHeight="12" x14ac:dyDescent="0"/>
  <cols>
    <col min="1" max="1" width="12.5" customWidth="1"/>
    <col min="12" max="12" width="9.1640625" customWidth="1"/>
    <col min="13" max="13" width="8.83203125" style="48"/>
    <col min="17" max="17" width="12.83203125" customWidth="1"/>
  </cols>
  <sheetData>
    <row r="1" spans="1:17" ht="23">
      <c r="A1" s="711" t="s">
        <v>252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</row>
    <row r="2" spans="1:17" ht="13" thickBot="1">
      <c r="Q2" s="238"/>
    </row>
    <row r="3" spans="1:17" ht="13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252" t="s">
        <v>13</v>
      </c>
      <c r="N3" s="52" t="s">
        <v>112</v>
      </c>
      <c r="O3" s="251" t="s">
        <v>107</v>
      </c>
      <c r="P3" s="253" t="s">
        <v>16</v>
      </c>
      <c r="Q3" s="254"/>
    </row>
    <row r="4" spans="1:17" s="222" customFormat="1">
      <c r="A4" s="261" t="s">
        <v>154</v>
      </c>
      <c r="B4" s="262">
        <v>319.23</v>
      </c>
      <c r="C4" s="262">
        <v>341.44</v>
      </c>
      <c r="D4" s="262">
        <v>287.33</v>
      </c>
      <c r="E4" s="262">
        <v>267.92</v>
      </c>
      <c r="F4" s="262">
        <v>271.17</v>
      </c>
      <c r="G4" s="262">
        <v>262.97000000000003</v>
      </c>
      <c r="H4" s="262">
        <v>485.82</v>
      </c>
      <c r="I4" s="262">
        <v>529.71</v>
      </c>
      <c r="J4" s="262">
        <v>381.71</v>
      </c>
      <c r="K4" s="262">
        <v>348.54</v>
      </c>
      <c r="L4" s="262">
        <v>427.7</v>
      </c>
      <c r="M4" s="263">
        <v>475.73</v>
      </c>
      <c r="N4" s="60">
        <f t="shared" ref="N4:N62" si="0">SUM(B4:M4)</f>
        <v>4399.2700000000004</v>
      </c>
      <c r="O4" s="19">
        <f>SUM('MTRT 2010'!B4:M4)</f>
        <v>3548.1399999999994</v>
      </c>
      <c r="P4" s="22">
        <f t="shared" ref="P4:P11" si="1">N4/O4-1</f>
        <v>0.23988061350454082</v>
      </c>
      <c r="Q4" s="261" t="s">
        <v>154</v>
      </c>
    </row>
    <row r="5" spans="1:17">
      <c r="A5" s="261" t="s">
        <v>156</v>
      </c>
      <c r="B5" s="264">
        <v>695.66</v>
      </c>
      <c r="C5" s="264">
        <v>1341.21</v>
      </c>
      <c r="D5" s="265">
        <v>873.34</v>
      </c>
      <c r="E5" s="262">
        <v>771.14</v>
      </c>
      <c r="F5" s="262">
        <v>1008.01</v>
      </c>
      <c r="G5" s="262">
        <v>1423.73</v>
      </c>
      <c r="H5" s="262">
        <v>799.11</v>
      </c>
      <c r="I5" s="262">
        <v>2153.39</v>
      </c>
      <c r="J5" s="262">
        <v>990.82</v>
      </c>
      <c r="K5" s="262">
        <v>1061.5</v>
      </c>
      <c r="L5" s="262">
        <v>2360.94</v>
      </c>
      <c r="M5" s="263">
        <v>835.17</v>
      </c>
      <c r="N5" s="60">
        <f t="shared" si="0"/>
        <v>14314.02</v>
      </c>
      <c r="O5" s="19">
        <f>SUM('MTRT 2010'!B5:M5)</f>
        <v>14436.01</v>
      </c>
      <c r="P5" s="22">
        <f t="shared" si="1"/>
        <v>-8.4503959196481349E-3</v>
      </c>
      <c r="Q5" s="261" t="s">
        <v>156</v>
      </c>
    </row>
    <row r="6" spans="1:17">
      <c r="A6" s="261" t="s">
        <v>157</v>
      </c>
      <c r="B6" s="264">
        <v>306.83999999999997</v>
      </c>
      <c r="C6" s="264">
        <v>431.8</v>
      </c>
      <c r="D6" s="265">
        <v>426.66</v>
      </c>
      <c r="E6" s="262">
        <v>432.17</v>
      </c>
      <c r="F6" s="262">
        <v>449</v>
      </c>
      <c r="G6" s="262">
        <v>425.2</v>
      </c>
      <c r="H6" s="262">
        <v>656.41</v>
      </c>
      <c r="I6" s="262">
        <v>811.59</v>
      </c>
      <c r="J6" s="262">
        <v>0</v>
      </c>
      <c r="K6" s="262">
        <v>1466.93</v>
      </c>
      <c r="L6" s="262">
        <v>1287.25</v>
      </c>
      <c r="M6" s="263">
        <v>334.98</v>
      </c>
      <c r="N6" s="60">
        <f t="shared" si="0"/>
        <v>7028.83</v>
      </c>
      <c r="O6" s="19">
        <f>SUM('MTRT 2010'!B6:M6)</f>
        <v>9024.14</v>
      </c>
      <c r="P6" s="22">
        <f t="shared" si="1"/>
        <v>-0.22110805018539159</v>
      </c>
      <c r="Q6" s="261" t="s">
        <v>157</v>
      </c>
    </row>
    <row r="7" spans="1:17">
      <c r="A7" s="261" t="s">
        <v>160</v>
      </c>
      <c r="B7" s="264">
        <v>4599</v>
      </c>
      <c r="C7" s="264">
        <v>4599</v>
      </c>
      <c r="D7" s="265">
        <v>4599</v>
      </c>
      <c r="E7" s="262">
        <v>5644</v>
      </c>
      <c r="F7" s="262">
        <v>5644</v>
      </c>
      <c r="G7" s="262">
        <v>5644</v>
      </c>
      <c r="H7" s="262">
        <v>0</v>
      </c>
      <c r="I7" s="262">
        <v>0</v>
      </c>
      <c r="J7" s="262">
        <v>9659.5499999999993</v>
      </c>
      <c r="K7" s="262">
        <v>10157.51</v>
      </c>
      <c r="L7" s="262">
        <v>10579.89</v>
      </c>
      <c r="M7" s="263">
        <v>5803.46</v>
      </c>
      <c r="N7" s="60">
        <f>SUM(B7:M7)</f>
        <v>66929.41</v>
      </c>
      <c r="O7" s="19"/>
      <c r="P7" s="22"/>
      <c r="Q7" s="261" t="s">
        <v>160</v>
      </c>
    </row>
    <row r="8" spans="1:17">
      <c r="A8" s="261" t="s">
        <v>161</v>
      </c>
      <c r="B8" s="264">
        <v>1542.36</v>
      </c>
      <c r="C8" s="264">
        <v>799.97</v>
      </c>
      <c r="D8" s="265">
        <v>3720.93</v>
      </c>
      <c r="E8" s="262">
        <v>2168.29</v>
      </c>
      <c r="F8" s="262">
        <v>1370.31</v>
      </c>
      <c r="G8" s="262">
        <v>3161.3</v>
      </c>
      <c r="H8" s="262">
        <v>1519.68</v>
      </c>
      <c r="I8" s="262">
        <v>4289.87</v>
      </c>
      <c r="J8" s="262">
        <v>3285.38</v>
      </c>
      <c r="K8" s="262">
        <v>1645.47</v>
      </c>
      <c r="L8" s="262">
        <v>2696.45</v>
      </c>
      <c r="M8" s="263">
        <v>2413.34</v>
      </c>
      <c r="N8" s="60">
        <f t="shared" si="0"/>
        <v>28613.350000000002</v>
      </c>
      <c r="O8" s="19">
        <f>SUM('MTRT 2010'!B7:M7)</f>
        <v>27078.49</v>
      </c>
      <c r="P8" s="22">
        <f t="shared" si="1"/>
        <v>5.6681890312199945E-2</v>
      </c>
      <c r="Q8" s="261" t="s">
        <v>161</v>
      </c>
    </row>
    <row r="9" spans="1:17">
      <c r="A9" s="261" t="s">
        <v>163</v>
      </c>
      <c r="B9" s="264">
        <v>4957.7299999999996</v>
      </c>
      <c r="C9" s="264">
        <v>3573.54</v>
      </c>
      <c r="D9" s="265">
        <v>5646.44</v>
      </c>
      <c r="E9" s="262">
        <v>1582.59</v>
      </c>
      <c r="F9" s="262">
        <v>6484.38</v>
      </c>
      <c r="G9" s="262">
        <v>5215.3599999999997</v>
      </c>
      <c r="H9" s="262">
        <v>4825.6499999999996</v>
      </c>
      <c r="I9" s="262">
        <v>6766.49</v>
      </c>
      <c r="J9" s="262">
        <v>7927.21</v>
      </c>
      <c r="K9" s="262">
        <v>2433.63</v>
      </c>
      <c r="L9" s="262">
        <v>6779.58</v>
      </c>
      <c r="M9" s="263">
        <v>7013.21</v>
      </c>
      <c r="N9" s="60">
        <f t="shared" si="0"/>
        <v>63205.81</v>
      </c>
      <c r="O9" s="19">
        <f>SUM('MTRT 2010'!B8:M8)</f>
        <v>65054.22</v>
      </c>
      <c r="P9" s="22">
        <f t="shared" si="1"/>
        <v>-2.8413375796374263E-2</v>
      </c>
      <c r="Q9" s="261" t="s">
        <v>163</v>
      </c>
    </row>
    <row r="10" spans="1:17">
      <c r="A10" s="261" t="s">
        <v>166</v>
      </c>
      <c r="B10" s="264">
        <v>377.77</v>
      </c>
      <c r="C10" s="264">
        <v>480.01</v>
      </c>
      <c r="D10" s="265">
        <v>293.37</v>
      </c>
      <c r="E10" s="262">
        <v>316.85000000000002</v>
      </c>
      <c r="F10" s="262">
        <v>466.25</v>
      </c>
      <c r="G10" s="262">
        <v>200.99</v>
      </c>
      <c r="H10" s="262">
        <v>504.72</v>
      </c>
      <c r="I10" s="262">
        <v>878.68</v>
      </c>
      <c r="J10" s="262">
        <v>689.34</v>
      </c>
      <c r="K10" s="262">
        <v>694.96</v>
      </c>
      <c r="L10" s="262">
        <v>1075.9100000000001</v>
      </c>
      <c r="M10" s="263">
        <v>409.73</v>
      </c>
      <c r="N10" s="60">
        <f t="shared" si="0"/>
        <v>6388.58</v>
      </c>
      <c r="O10" s="19">
        <f>SUM('MTRT 2010'!B9:M9)</f>
        <v>15328.41</v>
      </c>
      <c r="P10" s="22">
        <f t="shared" si="1"/>
        <v>-0.58321965552852517</v>
      </c>
      <c r="Q10" s="261" t="s">
        <v>166</v>
      </c>
    </row>
    <row r="11" spans="1:17">
      <c r="A11" s="261" t="s">
        <v>167</v>
      </c>
      <c r="B11" s="264">
        <v>0</v>
      </c>
      <c r="C11" s="264">
        <v>0</v>
      </c>
      <c r="D11" s="265">
        <v>0</v>
      </c>
      <c r="E11" s="262">
        <v>0</v>
      </c>
      <c r="F11" s="262">
        <v>0</v>
      </c>
      <c r="G11" s="262">
        <v>0</v>
      </c>
      <c r="H11" s="262">
        <v>276.81</v>
      </c>
      <c r="I11" s="262">
        <v>701.34</v>
      </c>
      <c r="J11" s="262">
        <v>1100.54</v>
      </c>
      <c r="K11" s="262">
        <v>773.4</v>
      </c>
      <c r="L11" s="262">
        <v>37.28</v>
      </c>
      <c r="M11" s="263">
        <v>345.86</v>
      </c>
      <c r="N11" s="60">
        <f t="shared" si="0"/>
        <v>3235.2300000000005</v>
      </c>
      <c r="O11" s="19">
        <f>SUM('MTRT 2010'!B10:M10)</f>
        <v>2302.4299999999998</v>
      </c>
      <c r="P11" s="22">
        <f t="shared" si="1"/>
        <v>0.40513718115208741</v>
      </c>
      <c r="Q11" s="261" t="s">
        <v>167</v>
      </c>
    </row>
    <row r="12" spans="1:17">
      <c r="A12" s="261" t="s">
        <v>168</v>
      </c>
      <c r="B12" s="262">
        <v>7427.22</v>
      </c>
      <c r="C12" s="262">
        <v>5475.53</v>
      </c>
      <c r="D12" s="265">
        <v>13664.15</v>
      </c>
      <c r="E12" s="262">
        <v>10116.19</v>
      </c>
      <c r="F12" s="262">
        <v>9916.48</v>
      </c>
      <c r="G12" s="262">
        <v>12279.75</v>
      </c>
      <c r="H12" s="262">
        <v>15386.08</v>
      </c>
      <c r="I12" s="262">
        <v>20507.3</v>
      </c>
      <c r="J12" s="262">
        <v>12363.88</v>
      </c>
      <c r="K12" s="262">
        <v>22302.51</v>
      </c>
      <c r="L12" s="262">
        <v>9533.99</v>
      </c>
      <c r="M12" s="263">
        <v>13460.33</v>
      </c>
      <c r="N12" s="60">
        <f t="shared" si="0"/>
        <v>152433.41</v>
      </c>
      <c r="O12" s="19">
        <f>SUM('MTRT 2010'!B11:M11)</f>
        <v>144954.38</v>
      </c>
      <c r="P12" s="22">
        <f>N12/O12-1</f>
        <v>5.1595750331931978E-2</v>
      </c>
      <c r="Q12" s="261" t="s">
        <v>168</v>
      </c>
    </row>
    <row r="13" spans="1:17">
      <c r="A13" s="261" t="s">
        <v>169</v>
      </c>
      <c r="B13" s="262">
        <v>1296</v>
      </c>
      <c r="C13" s="262">
        <v>1072</v>
      </c>
      <c r="D13" s="265">
        <v>1196</v>
      </c>
      <c r="E13" s="262">
        <v>1504</v>
      </c>
      <c r="F13" s="262">
        <v>1393</v>
      </c>
      <c r="G13" s="262">
        <v>2005</v>
      </c>
      <c r="H13" s="262">
        <v>0</v>
      </c>
      <c r="I13" s="262">
        <v>0</v>
      </c>
      <c r="J13" s="262">
        <v>2470.63</v>
      </c>
      <c r="K13" s="262">
        <v>2532.65</v>
      </c>
      <c r="L13" s="262">
        <v>3172.86</v>
      </c>
      <c r="M13" s="263">
        <v>1574.93</v>
      </c>
      <c r="N13" s="60">
        <f t="shared" si="0"/>
        <v>18217.07</v>
      </c>
      <c r="O13" s="19"/>
      <c r="P13" s="22"/>
      <c r="Q13" s="261" t="s">
        <v>169</v>
      </c>
    </row>
    <row r="14" spans="1:17">
      <c r="A14" s="261" t="s">
        <v>170</v>
      </c>
      <c r="B14" s="266">
        <v>0</v>
      </c>
      <c r="C14" s="262">
        <v>400.39</v>
      </c>
      <c r="D14" s="265">
        <v>0</v>
      </c>
      <c r="E14" s="266">
        <v>0</v>
      </c>
      <c r="F14" s="266">
        <v>455.45</v>
      </c>
      <c r="G14" s="262">
        <v>0</v>
      </c>
      <c r="H14" s="262">
        <v>0</v>
      </c>
      <c r="I14" s="262">
        <v>0</v>
      </c>
      <c r="J14" s="262">
        <v>394.82</v>
      </c>
      <c r="K14" s="262">
        <v>0</v>
      </c>
      <c r="L14" s="262">
        <v>544.66999999999996</v>
      </c>
      <c r="M14" s="263">
        <v>0</v>
      </c>
      <c r="N14" s="60">
        <f t="shared" si="0"/>
        <v>1795.33</v>
      </c>
      <c r="O14" s="19">
        <f>SUM('MTRT 2010'!B12:M12)</f>
        <v>1835.5400000000002</v>
      </c>
      <c r="P14" s="22">
        <f>N14/O14-1</f>
        <v>-2.1906359981259116E-2</v>
      </c>
      <c r="Q14" s="261" t="s">
        <v>170</v>
      </c>
    </row>
    <row r="15" spans="1:17">
      <c r="A15" s="261" t="s">
        <v>171</v>
      </c>
      <c r="B15" s="266">
        <v>2133</v>
      </c>
      <c r="C15" s="262">
        <v>2133</v>
      </c>
      <c r="D15" s="265">
        <v>2133</v>
      </c>
      <c r="E15" s="266">
        <v>3240</v>
      </c>
      <c r="F15" s="266">
        <v>3240</v>
      </c>
      <c r="G15" s="262">
        <v>3240</v>
      </c>
      <c r="H15" s="262">
        <v>0</v>
      </c>
      <c r="I15" s="262">
        <v>146.05000000000001</v>
      </c>
      <c r="J15" s="262">
        <v>2353.88</v>
      </c>
      <c r="K15" s="262">
        <v>5327.92</v>
      </c>
      <c r="L15" s="262">
        <v>2973.59</v>
      </c>
      <c r="M15" s="263">
        <v>3106.58</v>
      </c>
      <c r="N15" s="60">
        <f t="shared" si="0"/>
        <v>30027.019999999997</v>
      </c>
      <c r="O15" s="19"/>
      <c r="P15" s="22"/>
      <c r="Q15" s="261" t="s">
        <v>171</v>
      </c>
    </row>
    <row r="16" spans="1:17">
      <c r="A16" s="261" t="s">
        <v>172</v>
      </c>
      <c r="B16" s="262">
        <v>539</v>
      </c>
      <c r="C16" s="262">
        <v>1067</v>
      </c>
      <c r="D16" s="265">
        <v>1301</v>
      </c>
      <c r="E16" s="262">
        <v>1211</v>
      </c>
      <c r="F16" s="262">
        <v>1290</v>
      </c>
      <c r="G16" s="266">
        <v>1934</v>
      </c>
      <c r="H16" s="262">
        <v>0</v>
      </c>
      <c r="I16" s="262">
        <v>0</v>
      </c>
      <c r="J16" s="262">
        <v>3014.74</v>
      </c>
      <c r="K16" s="262">
        <v>3191.68</v>
      </c>
      <c r="L16" s="262">
        <v>1980.42</v>
      </c>
      <c r="M16" s="263">
        <v>1102.4000000000001</v>
      </c>
      <c r="N16" s="60">
        <f t="shared" si="0"/>
        <v>16631.240000000002</v>
      </c>
      <c r="O16" s="19">
        <f>SUM('MTRT 2010'!B13:M13)</f>
        <v>13673</v>
      </c>
      <c r="P16" s="22">
        <f t="shared" ref="P16:P62" si="2">N16/O16-1</f>
        <v>0.21635632267973381</v>
      </c>
      <c r="Q16" s="261" t="s">
        <v>172</v>
      </c>
    </row>
    <row r="17" spans="1:17">
      <c r="A17" s="261" t="s">
        <v>174</v>
      </c>
      <c r="B17" s="264">
        <v>709.01</v>
      </c>
      <c r="C17" s="264">
        <v>1238.31</v>
      </c>
      <c r="D17" s="265">
        <v>770.78</v>
      </c>
      <c r="E17" s="262">
        <v>662.05</v>
      </c>
      <c r="F17" s="262">
        <v>1094.81</v>
      </c>
      <c r="G17" s="262">
        <v>985.15</v>
      </c>
      <c r="H17" s="262">
        <v>841.85</v>
      </c>
      <c r="I17" s="262">
        <v>2045.3</v>
      </c>
      <c r="J17" s="262">
        <v>1092.3399999999999</v>
      </c>
      <c r="K17" s="262">
        <v>1243.04</v>
      </c>
      <c r="L17" s="262">
        <v>2511.98</v>
      </c>
      <c r="M17" s="263">
        <v>1801.7</v>
      </c>
      <c r="N17" s="60">
        <f t="shared" si="0"/>
        <v>14996.32</v>
      </c>
      <c r="O17" s="19">
        <f>SUM('MTRT 2010'!B14:M14)</f>
        <v>10011.01</v>
      </c>
      <c r="P17" s="22">
        <f t="shared" si="2"/>
        <v>0.49798272102415231</v>
      </c>
      <c r="Q17" s="261" t="s">
        <v>174</v>
      </c>
    </row>
    <row r="18" spans="1:17">
      <c r="A18" s="261" t="s">
        <v>176</v>
      </c>
      <c r="B18" s="264">
        <v>1379.15</v>
      </c>
      <c r="C18" s="264">
        <v>1999.4</v>
      </c>
      <c r="D18" s="265">
        <v>1437.31</v>
      </c>
      <c r="E18" s="262">
        <v>1959.26</v>
      </c>
      <c r="F18" s="262">
        <v>3393.63</v>
      </c>
      <c r="G18" s="262">
        <v>6734.36</v>
      </c>
      <c r="H18" s="262">
        <v>7320.69</v>
      </c>
      <c r="I18" s="262">
        <v>10275.629999999999</v>
      </c>
      <c r="J18" s="262">
        <v>6280.26</v>
      </c>
      <c r="K18" s="262">
        <v>6932.12</v>
      </c>
      <c r="L18" s="262">
        <v>9806.11</v>
      </c>
      <c r="M18" s="263">
        <v>4940.2700000000004</v>
      </c>
      <c r="N18" s="60">
        <f t="shared" si="0"/>
        <v>62458.19</v>
      </c>
      <c r="O18" s="19">
        <f>SUM('MTRT 2010'!B15:M15)</f>
        <v>69590.44</v>
      </c>
      <c r="P18" s="22">
        <f t="shared" si="2"/>
        <v>-0.1024889338248185</v>
      </c>
      <c r="Q18" s="261" t="s">
        <v>176</v>
      </c>
    </row>
    <row r="19" spans="1:17">
      <c r="A19" s="261" t="s">
        <v>178</v>
      </c>
      <c r="B19" s="264"/>
      <c r="C19" s="264"/>
      <c r="D19" s="265"/>
      <c r="E19" s="262"/>
      <c r="F19" s="262"/>
      <c r="G19" s="262"/>
      <c r="H19" s="262"/>
      <c r="I19" s="262"/>
      <c r="J19" s="262">
        <v>979.7</v>
      </c>
      <c r="K19" s="262">
        <v>24.83</v>
      </c>
      <c r="L19" s="262">
        <v>4380.24</v>
      </c>
      <c r="M19" s="263">
        <v>0</v>
      </c>
      <c r="N19" s="60">
        <f t="shared" si="0"/>
        <v>5384.7699999999995</v>
      </c>
      <c r="O19" s="19"/>
      <c r="P19" s="22"/>
      <c r="Q19" s="261"/>
    </row>
    <row r="20" spans="1:17">
      <c r="A20" s="261" t="s">
        <v>180</v>
      </c>
      <c r="B20" s="264">
        <v>18451.849999999999</v>
      </c>
      <c r="C20" s="264">
        <v>16812.62</v>
      </c>
      <c r="D20" s="265">
        <v>7069.82</v>
      </c>
      <c r="E20" s="262">
        <v>13475.84</v>
      </c>
      <c r="F20" s="262">
        <v>40827.32</v>
      </c>
      <c r="G20" s="262">
        <v>69988.600000000006</v>
      </c>
      <c r="H20" s="262">
        <v>74011.98</v>
      </c>
      <c r="I20" s="262">
        <v>104848.37</v>
      </c>
      <c r="J20" s="262">
        <v>74533.91</v>
      </c>
      <c r="K20" s="262">
        <v>54948.37</v>
      </c>
      <c r="L20" s="262">
        <v>89514.61</v>
      </c>
      <c r="M20" s="263">
        <v>59916.19</v>
      </c>
      <c r="N20" s="60">
        <f t="shared" si="0"/>
        <v>624399.48</v>
      </c>
      <c r="O20" s="19">
        <f>SUM('MTRT 2010'!B16:M16)</f>
        <v>601822.97000000009</v>
      </c>
      <c r="P20" s="22">
        <f t="shared" si="2"/>
        <v>3.7513539903603066E-2</v>
      </c>
      <c r="Q20" s="261" t="s">
        <v>180</v>
      </c>
    </row>
    <row r="21" spans="1:17">
      <c r="A21" s="261" t="s">
        <v>187</v>
      </c>
      <c r="B21" s="264"/>
      <c r="C21" s="264"/>
      <c r="D21" s="265"/>
      <c r="E21" s="262"/>
      <c r="F21" s="262"/>
      <c r="G21" s="262"/>
      <c r="H21" s="262"/>
      <c r="I21" s="262"/>
      <c r="J21" s="262">
        <v>0</v>
      </c>
      <c r="K21" s="262">
        <v>0</v>
      </c>
      <c r="L21" s="262">
        <v>771.24</v>
      </c>
      <c r="M21" s="263">
        <v>0</v>
      </c>
      <c r="N21" s="60">
        <f t="shared" si="0"/>
        <v>771.24</v>
      </c>
      <c r="O21" s="19"/>
      <c r="P21" s="22"/>
      <c r="Q21" s="261"/>
    </row>
    <row r="22" spans="1:17">
      <c r="A22" s="261" t="s">
        <v>188</v>
      </c>
      <c r="B22" s="264">
        <v>3065.92</v>
      </c>
      <c r="C22" s="264">
        <v>3833.05</v>
      </c>
      <c r="D22" s="265">
        <v>4303.28</v>
      </c>
      <c r="E22" s="262">
        <v>1971.27</v>
      </c>
      <c r="F22" s="262">
        <v>3500.91</v>
      </c>
      <c r="G22" s="262">
        <v>5233.21</v>
      </c>
      <c r="H22" s="262">
        <v>6712.7</v>
      </c>
      <c r="I22" s="262">
        <v>22389.56</v>
      </c>
      <c r="J22" s="262">
        <v>11774.17</v>
      </c>
      <c r="K22" s="262">
        <v>12314.95</v>
      </c>
      <c r="L22" s="262">
        <v>15536.7</v>
      </c>
      <c r="M22" s="263">
        <v>7386.6</v>
      </c>
      <c r="N22" s="60">
        <f t="shared" si="0"/>
        <v>98022.32</v>
      </c>
      <c r="O22" s="19"/>
      <c r="P22" s="22"/>
      <c r="Q22" s="261"/>
    </row>
    <row r="23" spans="1:17">
      <c r="A23" s="261" t="s">
        <v>190</v>
      </c>
      <c r="B23" s="264">
        <v>1425.98</v>
      </c>
      <c r="C23" s="264">
        <v>1318.99</v>
      </c>
      <c r="D23" s="265">
        <v>390.64</v>
      </c>
      <c r="E23" s="262">
        <v>357.33</v>
      </c>
      <c r="F23" s="262">
        <v>2228.19</v>
      </c>
      <c r="G23" s="262">
        <v>1202.52</v>
      </c>
      <c r="H23" s="262">
        <v>1197.3399999999999</v>
      </c>
      <c r="I23" s="262">
        <v>2112.21</v>
      </c>
      <c r="J23" s="262">
        <v>1387.06</v>
      </c>
      <c r="K23" s="262">
        <v>1460.92</v>
      </c>
      <c r="L23" s="262">
        <v>2074.36</v>
      </c>
      <c r="M23" s="263">
        <v>1013.7</v>
      </c>
      <c r="N23" s="60">
        <f t="shared" si="0"/>
        <v>16169.240000000002</v>
      </c>
      <c r="O23" s="19">
        <f>SUM('MTRT 2010'!B17:M17)</f>
        <v>28768.68</v>
      </c>
      <c r="P23" s="22">
        <f t="shared" si="2"/>
        <v>-0.43795683361210869</v>
      </c>
      <c r="Q23" s="261" t="s">
        <v>190</v>
      </c>
    </row>
    <row r="24" spans="1:17">
      <c r="A24" s="261" t="s">
        <v>191</v>
      </c>
      <c r="B24" s="264">
        <v>0</v>
      </c>
      <c r="C24" s="264">
        <v>0</v>
      </c>
      <c r="D24" s="265">
        <v>758.73</v>
      </c>
      <c r="E24" s="262">
        <v>1510.71</v>
      </c>
      <c r="F24" s="262">
        <v>736.86</v>
      </c>
      <c r="G24" s="262">
        <v>1494.07</v>
      </c>
      <c r="H24" s="262">
        <v>1492.8</v>
      </c>
      <c r="I24" s="262">
        <v>3428.3</v>
      </c>
      <c r="J24" s="262">
        <v>896.79</v>
      </c>
      <c r="K24" s="262">
        <v>2014.61</v>
      </c>
      <c r="L24" s="262">
        <v>2093.9699999999998</v>
      </c>
      <c r="M24" s="263">
        <v>1976.53</v>
      </c>
      <c r="N24" s="60">
        <f t="shared" si="0"/>
        <v>16403.370000000003</v>
      </c>
      <c r="O24" s="19"/>
      <c r="P24" s="22"/>
      <c r="Q24" s="261" t="s">
        <v>191</v>
      </c>
    </row>
    <row r="25" spans="1:17">
      <c r="A25" s="261" t="s">
        <v>196</v>
      </c>
      <c r="B25" s="264">
        <v>902.06</v>
      </c>
      <c r="C25" s="264">
        <v>3388.65</v>
      </c>
      <c r="D25" s="265">
        <v>2733.01</v>
      </c>
      <c r="E25" s="262">
        <v>3739.37</v>
      </c>
      <c r="F25" s="262">
        <v>3534.07</v>
      </c>
      <c r="G25" s="262">
        <v>3185.43</v>
      </c>
      <c r="H25" s="262">
        <v>1468.72</v>
      </c>
      <c r="I25" s="262">
        <v>2517.84</v>
      </c>
      <c r="J25" s="262">
        <v>150.59</v>
      </c>
      <c r="K25" s="262">
        <v>1342.68</v>
      </c>
      <c r="L25" s="262">
        <v>1827.17</v>
      </c>
      <c r="M25" s="263">
        <v>802.76</v>
      </c>
      <c r="N25" s="60">
        <f t="shared" si="0"/>
        <v>25592.350000000002</v>
      </c>
      <c r="O25" s="19">
        <f>SUM('MTRT 2010'!B18:M18)</f>
        <v>28586.999999999996</v>
      </c>
      <c r="P25" s="22">
        <f t="shared" si="2"/>
        <v>-0.10475565816629917</v>
      </c>
      <c r="Q25" s="261" t="s">
        <v>197</v>
      </c>
    </row>
    <row r="26" spans="1:17">
      <c r="A26" s="261" t="s">
        <v>198</v>
      </c>
      <c r="B26" s="264"/>
      <c r="C26" s="264"/>
      <c r="D26" s="265"/>
      <c r="E26" s="262"/>
      <c r="F26" s="262"/>
      <c r="G26" s="262"/>
      <c r="H26" s="262"/>
      <c r="I26" s="262"/>
      <c r="J26" s="262">
        <v>2515.6</v>
      </c>
      <c r="K26" s="262">
        <v>2807.22</v>
      </c>
      <c r="L26" s="262">
        <v>2448.0700000000002</v>
      </c>
      <c r="M26" s="263">
        <v>1957.03</v>
      </c>
      <c r="N26" s="60"/>
      <c r="O26" s="19"/>
      <c r="P26" s="22"/>
      <c r="Q26" s="261"/>
    </row>
    <row r="27" spans="1:17">
      <c r="A27" s="261" t="s">
        <v>199</v>
      </c>
      <c r="B27" s="264">
        <v>4361.16</v>
      </c>
      <c r="C27" s="264">
        <v>0</v>
      </c>
      <c r="D27" s="265">
        <v>3602.49</v>
      </c>
      <c r="E27" s="262">
        <v>3346.21</v>
      </c>
      <c r="F27" s="262">
        <v>3700.25</v>
      </c>
      <c r="G27" s="262">
        <v>2151.9</v>
      </c>
      <c r="H27" s="262">
        <v>2301.37</v>
      </c>
      <c r="I27" s="262">
        <v>3143.44</v>
      </c>
      <c r="J27" s="262">
        <v>2651.74</v>
      </c>
      <c r="K27" s="262">
        <v>3573.88</v>
      </c>
      <c r="L27" s="262">
        <v>2934.93</v>
      </c>
      <c r="M27" s="263">
        <v>3171.1</v>
      </c>
      <c r="N27" s="60">
        <f t="shared" si="0"/>
        <v>34938.47</v>
      </c>
      <c r="O27" s="19">
        <f>SUM('MTRT 2010'!B19:M19)</f>
        <v>37175.53</v>
      </c>
      <c r="P27" s="22">
        <f t="shared" si="2"/>
        <v>-6.0175604759367229E-2</v>
      </c>
      <c r="Q27" s="267" t="s">
        <v>199</v>
      </c>
    </row>
    <row r="28" spans="1:17">
      <c r="A28" s="261" t="s">
        <v>200</v>
      </c>
      <c r="B28" s="264"/>
      <c r="C28" s="264"/>
      <c r="D28" s="265"/>
      <c r="E28" s="262"/>
      <c r="F28" s="262"/>
      <c r="G28" s="262"/>
      <c r="H28" s="262"/>
      <c r="I28" s="262"/>
      <c r="J28" s="262">
        <v>4999.22</v>
      </c>
      <c r="K28" s="262">
        <v>9410</v>
      </c>
      <c r="L28" s="262">
        <v>9841.2900000000009</v>
      </c>
      <c r="M28" s="263">
        <v>7192.73</v>
      </c>
      <c r="N28" s="60"/>
      <c r="O28" s="19"/>
      <c r="P28" s="22"/>
      <c r="Q28" s="261"/>
    </row>
    <row r="29" spans="1:17">
      <c r="A29" s="261" t="s">
        <v>201</v>
      </c>
      <c r="B29" s="264"/>
      <c r="C29" s="264"/>
      <c r="D29" s="265"/>
      <c r="E29" s="262"/>
      <c r="F29" s="262"/>
      <c r="G29" s="262"/>
      <c r="H29" s="262"/>
      <c r="I29" s="262"/>
      <c r="J29" s="262">
        <v>6823.97</v>
      </c>
      <c r="K29" s="262">
        <v>9435.23</v>
      </c>
      <c r="L29" s="262">
        <v>6081.83</v>
      </c>
      <c r="M29" s="263">
        <v>6594.35</v>
      </c>
      <c r="N29" s="60"/>
      <c r="O29" s="19"/>
      <c r="P29" s="22"/>
      <c r="Q29" s="261"/>
    </row>
    <row r="30" spans="1:17">
      <c r="A30" s="261" t="s">
        <v>202</v>
      </c>
      <c r="B30" s="264"/>
      <c r="C30" s="264"/>
      <c r="D30" s="265"/>
      <c r="E30" s="262"/>
      <c r="F30" s="262"/>
      <c r="G30" s="262"/>
      <c r="H30" s="262"/>
      <c r="I30" s="262"/>
      <c r="J30" s="262">
        <v>198006.92</v>
      </c>
      <c r="K30" s="262">
        <v>250728.94</v>
      </c>
      <c r="L30" s="262">
        <v>181743.11</v>
      </c>
      <c r="M30" s="263">
        <v>208094</v>
      </c>
      <c r="N30" s="60"/>
      <c r="O30" s="19"/>
      <c r="P30" s="22"/>
      <c r="Q30" s="261"/>
    </row>
    <row r="31" spans="1:17">
      <c r="A31" s="261" t="s">
        <v>204</v>
      </c>
      <c r="B31" s="264">
        <v>1743.83</v>
      </c>
      <c r="C31" s="264">
        <v>1850.16</v>
      </c>
      <c r="D31" s="265">
        <v>1645.11</v>
      </c>
      <c r="E31" s="262">
        <v>2433.19</v>
      </c>
      <c r="F31" s="262">
        <v>1934.61</v>
      </c>
      <c r="G31" s="262">
        <v>1946.89</v>
      </c>
      <c r="H31" s="262">
        <v>2352.87</v>
      </c>
      <c r="I31" s="262">
        <v>3344.54</v>
      </c>
      <c r="J31" s="262">
        <v>2518.54</v>
      </c>
      <c r="K31" s="262">
        <v>3063.6</v>
      </c>
      <c r="L31" s="262">
        <v>2517.0700000000002</v>
      </c>
      <c r="M31" s="263">
        <v>2401.5700000000002</v>
      </c>
      <c r="N31" s="60">
        <f t="shared" si="0"/>
        <v>27751.98</v>
      </c>
      <c r="O31" s="19">
        <f>SUM('MTRT 2010'!B20:M20)</f>
        <v>24972.440000000002</v>
      </c>
      <c r="P31" s="22">
        <f t="shared" si="2"/>
        <v>0.11130430186237295</v>
      </c>
      <c r="Q31" s="261" t="s">
        <v>204</v>
      </c>
    </row>
    <row r="32" spans="1:17" s="154" customFormat="1">
      <c r="A32" s="261" t="s">
        <v>205</v>
      </c>
      <c r="B32" s="262">
        <v>1900.76</v>
      </c>
      <c r="C32" s="262">
        <v>1473.74</v>
      </c>
      <c r="D32" s="265">
        <v>2019.52</v>
      </c>
      <c r="E32" s="262">
        <v>1907.25</v>
      </c>
      <c r="F32" s="262">
        <v>2382.46</v>
      </c>
      <c r="G32" s="262">
        <v>2044.78</v>
      </c>
      <c r="H32" s="262">
        <v>2271.94</v>
      </c>
      <c r="I32" s="262">
        <v>2609.16</v>
      </c>
      <c r="J32" s="262">
        <v>2152.84</v>
      </c>
      <c r="K32" s="262">
        <v>2782.25</v>
      </c>
      <c r="L32" s="262">
        <v>2491.4</v>
      </c>
      <c r="M32" s="263">
        <v>2433.2399999999998</v>
      </c>
      <c r="N32" s="60">
        <f t="shared" si="0"/>
        <v>26469.340000000004</v>
      </c>
      <c r="O32" s="19">
        <f>SUM('MTRT 2010'!B21:M21)</f>
        <v>22360.010000000002</v>
      </c>
      <c r="P32" s="22">
        <f t="shared" si="2"/>
        <v>0.18378032925745558</v>
      </c>
      <c r="Q32" s="261" t="s">
        <v>205</v>
      </c>
    </row>
    <row r="33" spans="1:17" s="154" customFormat="1">
      <c r="A33" s="261" t="s">
        <v>206</v>
      </c>
      <c r="B33" s="262">
        <v>35294</v>
      </c>
      <c r="C33" s="262">
        <v>2829</v>
      </c>
      <c r="D33" s="265">
        <v>2911</v>
      </c>
      <c r="E33" s="262">
        <v>9943</v>
      </c>
      <c r="F33" s="262">
        <v>20393</v>
      </c>
      <c r="G33" s="262">
        <v>47238</v>
      </c>
      <c r="H33" s="262">
        <v>0</v>
      </c>
      <c r="I33" s="262">
        <v>1933.92</v>
      </c>
      <c r="J33" s="262">
        <v>18977.060000000001</v>
      </c>
      <c r="K33" s="262">
        <v>19552.323</v>
      </c>
      <c r="L33" s="262">
        <v>16761.060000000001</v>
      </c>
      <c r="M33" s="263">
        <v>15279.86</v>
      </c>
      <c r="N33" s="60">
        <f t="shared" si="0"/>
        <v>191112.223</v>
      </c>
      <c r="O33" s="19">
        <f>SUM('MTRT 2010'!B22:M22)</f>
        <v>170923</v>
      </c>
      <c r="P33" s="22">
        <f t="shared" si="2"/>
        <v>0.11811881958542725</v>
      </c>
      <c r="Q33" s="261" t="s">
        <v>206</v>
      </c>
    </row>
    <row r="34" spans="1:17">
      <c r="A34" s="261" t="s">
        <v>208</v>
      </c>
      <c r="B34" s="264">
        <v>1478.48</v>
      </c>
      <c r="C34" s="264">
        <v>1200.24</v>
      </c>
      <c r="D34" s="265">
        <v>360.34</v>
      </c>
      <c r="E34" s="262">
        <v>1084.82</v>
      </c>
      <c r="F34" s="262">
        <v>841.25</v>
      </c>
      <c r="G34" s="262">
        <v>1112.5</v>
      </c>
      <c r="H34" s="262">
        <v>1944.41</v>
      </c>
      <c r="I34" s="262">
        <v>4576.97</v>
      </c>
      <c r="J34" s="262">
        <v>1372.83</v>
      </c>
      <c r="K34" s="262">
        <v>1900.97</v>
      </c>
      <c r="L34" s="262">
        <v>5403.88</v>
      </c>
      <c r="M34" s="263">
        <v>1274.17</v>
      </c>
      <c r="N34" s="60">
        <f t="shared" si="0"/>
        <v>22550.86</v>
      </c>
      <c r="O34" s="19">
        <f>SUM('MTRT 2010'!B23:M23)</f>
        <v>21935.57</v>
      </c>
      <c r="P34" s="22">
        <f t="shared" si="2"/>
        <v>2.8049875157107884E-2</v>
      </c>
      <c r="Q34" s="261" t="s">
        <v>208</v>
      </c>
    </row>
    <row r="35" spans="1:17">
      <c r="A35" s="261" t="s">
        <v>209</v>
      </c>
      <c r="B35" s="264">
        <v>1632.76</v>
      </c>
      <c r="C35" s="264">
        <v>1039.47</v>
      </c>
      <c r="D35" s="265">
        <v>0</v>
      </c>
      <c r="E35" s="262">
        <v>1141.8900000000001</v>
      </c>
      <c r="F35" s="262">
        <v>328.19</v>
      </c>
      <c r="G35" s="262">
        <v>539.16999999999996</v>
      </c>
      <c r="H35" s="262">
        <v>717.63</v>
      </c>
      <c r="I35" s="262">
        <v>5166.04</v>
      </c>
      <c r="J35" s="262">
        <v>1266</v>
      </c>
      <c r="K35" s="262">
        <v>3019.85</v>
      </c>
      <c r="L35" s="262">
        <v>2695.34</v>
      </c>
      <c r="M35" s="263">
        <v>1260.73</v>
      </c>
      <c r="N35" s="60">
        <f t="shared" si="0"/>
        <v>18807.07</v>
      </c>
      <c r="O35" s="19">
        <f>SUM('MTRT 2010'!B24:M24)</f>
        <v>16406.899999999998</v>
      </c>
      <c r="P35" s="22">
        <f t="shared" si="2"/>
        <v>0.14629028030889457</v>
      </c>
      <c r="Q35" s="261" t="s">
        <v>209</v>
      </c>
    </row>
    <row r="36" spans="1:17">
      <c r="A36" s="261" t="s">
        <v>212</v>
      </c>
      <c r="B36" s="264">
        <v>3236</v>
      </c>
      <c r="C36" s="264">
        <v>3236</v>
      </c>
      <c r="D36" s="265">
        <v>3236</v>
      </c>
      <c r="E36" s="262">
        <v>5881</v>
      </c>
      <c r="F36" s="262">
        <v>5881</v>
      </c>
      <c r="G36" s="262">
        <v>5881</v>
      </c>
      <c r="H36" s="262">
        <v>0</v>
      </c>
      <c r="I36" s="262">
        <v>0</v>
      </c>
      <c r="J36" s="262">
        <v>7007.18</v>
      </c>
      <c r="K36" s="262">
        <v>7201.87</v>
      </c>
      <c r="L36" s="262">
        <v>8030.16</v>
      </c>
      <c r="M36" s="263">
        <v>5979.63</v>
      </c>
      <c r="N36" s="60">
        <f t="shared" si="0"/>
        <v>55569.840000000004</v>
      </c>
      <c r="O36" s="19">
        <f>SUM('MTRT 2010'!B25:M25)</f>
        <v>60705</v>
      </c>
      <c r="P36" s="22">
        <f t="shared" si="2"/>
        <v>-8.4592043489004176E-2</v>
      </c>
      <c r="Q36" s="261" t="s">
        <v>212</v>
      </c>
    </row>
    <row r="37" spans="1:17">
      <c r="A37" s="261" t="s">
        <v>213</v>
      </c>
      <c r="B37" s="264">
        <v>621</v>
      </c>
      <c r="C37" s="264">
        <v>621</v>
      </c>
      <c r="D37" s="265">
        <v>622</v>
      </c>
      <c r="E37" s="262">
        <v>828</v>
      </c>
      <c r="F37" s="262">
        <v>828</v>
      </c>
      <c r="G37" s="262">
        <v>829</v>
      </c>
      <c r="H37" s="262">
        <v>0</v>
      </c>
      <c r="I37" s="262">
        <v>0</v>
      </c>
      <c r="J37" s="262">
        <v>1581.11</v>
      </c>
      <c r="K37" s="262">
        <v>1520.86</v>
      </c>
      <c r="L37" s="262">
        <v>1877.41</v>
      </c>
      <c r="M37" s="263">
        <v>1345.23</v>
      </c>
      <c r="N37" s="60">
        <f>SUM(B37:M37)</f>
        <v>10673.609999999999</v>
      </c>
      <c r="O37" s="19"/>
      <c r="P37" s="22"/>
      <c r="Q37" s="261" t="s">
        <v>213</v>
      </c>
    </row>
    <row r="38" spans="1:17">
      <c r="A38" s="261" t="s">
        <v>216</v>
      </c>
      <c r="B38" s="264">
        <v>2079.63</v>
      </c>
      <c r="C38" s="264">
        <v>21698.2</v>
      </c>
      <c r="D38" s="265">
        <v>2087.5100000000002</v>
      </c>
      <c r="E38" s="262">
        <v>1151.46</v>
      </c>
      <c r="F38" s="262">
        <v>5343.12</v>
      </c>
      <c r="G38" s="262">
        <v>3958.1</v>
      </c>
      <c r="H38" s="262">
        <v>2588.11</v>
      </c>
      <c r="I38" s="262">
        <v>6441.71</v>
      </c>
      <c r="J38" s="262">
        <v>3508.19</v>
      </c>
      <c r="K38" s="262">
        <v>3842.21</v>
      </c>
      <c r="L38" s="262">
        <v>4837.66</v>
      </c>
      <c r="M38" s="263">
        <v>4127.95</v>
      </c>
      <c r="N38" s="60">
        <f t="shared" si="0"/>
        <v>61663.850000000006</v>
      </c>
      <c r="O38" s="19">
        <f>SUM('MTRT 2010'!B26:M26)</f>
        <v>44419.65</v>
      </c>
      <c r="P38" s="22">
        <f t="shared" si="2"/>
        <v>0.38821107325249082</v>
      </c>
      <c r="Q38" s="261" t="s">
        <v>216</v>
      </c>
    </row>
    <row r="39" spans="1:17">
      <c r="A39" s="261" t="s">
        <v>218</v>
      </c>
      <c r="B39" s="264"/>
      <c r="C39" s="264"/>
      <c r="D39" s="265"/>
      <c r="E39" s="262"/>
      <c r="F39" s="262"/>
      <c r="G39" s="262"/>
      <c r="H39" s="262"/>
      <c r="I39" s="262"/>
      <c r="J39" s="262">
        <v>852</v>
      </c>
      <c r="K39" s="262">
        <v>1082.73</v>
      </c>
      <c r="L39" s="262">
        <v>929.07</v>
      </c>
      <c r="M39" s="263">
        <v>1086.4100000000001</v>
      </c>
      <c r="N39" s="60"/>
      <c r="O39" s="19"/>
      <c r="P39" s="22"/>
      <c r="Q39" s="261"/>
    </row>
    <row r="40" spans="1:17">
      <c r="A40" s="261" t="s">
        <v>219</v>
      </c>
      <c r="B40" s="264"/>
      <c r="C40" s="264"/>
      <c r="D40" s="265"/>
      <c r="E40" s="262"/>
      <c r="F40" s="262"/>
      <c r="G40" s="262"/>
      <c r="H40" s="262"/>
      <c r="I40" s="262"/>
      <c r="J40" s="262">
        <v>14520.74</v>
      </c>
      <c r="K40" s="262">
        <v>13275.13</v>
      </c>
      <c r="L40" s="262">
        <v>15077.1</v>
      </c>
      <c r="M40" s="263">
        <v>16791.810000000001</v>
      </c>
      <c r="N40" s="60"/>
      <c r="O40" s="19"/>
      <c r="P40" s="22"/>
      <c r="Q40" s="261"/>
    </row>
    <row r="41" spans="1:17">
      <c r="A41" s="261" t="s">
        <v>222</v>
      </c>
      <c r="B41" s="264"/>
      <c r="C41" s="264"/>
      <c r="D41" s="265"/>
      <c r="E41" s="262"/>
      <c r="F41" s="262"/>
      <c r="G41" s="262"/>
      <c r="H41" s="262"/>
      <c r="I41" s="262"/>
      <c r="J41" s="262">
        <v>4026.05</v>
      </c>
      <c r="K41" s="262">
        <v>7002.79</v>
      </c>
      <c r="L41" s="262">
        <v>6418.4</v>
      </c>
      <c r="M41" s="263">
        <v>4060.84</v>
      </c>
      <c r="N41" s="60"/>
      <c r="O41" s="19"/>
      <c r="P41" s="22"/>
      <c r="Q41" s="261"/>
    </row>
    <row r="42" spans="1:17">
      <c r="A42" s="261" t="s">
        <v>223</v>
      </c>
      <c r="B42" s="264"/>
      <c r="C42" s="264"/>
      <c r="D42" s="265"/>
      <c r="E42" s="262"/>
      <c r="F42" s="262"/>
      <c r="G42" s="262"/>
      <c r="H42" s="262"/>
      <c r="I42" s="262"/>
      <c r="J42" s="262">
        <v>0</v>
      </c>
      <c r="K42" s="262">
        <v>0</v>
      </c>
      <c r="L42" s="262">
        <v>0</v>
      </c>
      <c r="M42" s="263">
        <v>0</v>
      </c>
      <c r="N42" s="60"/>
      <c r="O42" s="19"/>
      <c r="P42" s="22"/>
      <c r="Q42" s="261"/>
    </row>
    <row r="43" spans="1:17">
      <c r="A43" s="261" t="s">
        <v>224</v>
      </c>
      <c r="B43" s="264">
        <v>7592.19</v>
      </c>
      <c r="C43" s="264">
        <v>1844.01</v>
      </c>
      <c r="D43" s="265">
        <v>6449.06</v>
      </c>
      <c r="E43" s="262">
        <v>5717.15</v>
      </c>
      <c r="F43" s="262">
        <v>7942.64</v>
      </c>
      <c r="G43" s="262">
        <v>8751.4699999999993</v>
      </c>
      <c r="H43" s="262">
        <v>7419.65</v>
      </c>
      <c r="I43" s="262">
        <v>10767.02</v>
      </c>
      <c r="J43" s="262">
        <v>8779.24</v>
      </c>
      <c r="K43" s="262">
        <v>8951.2800000000007</v>
      </c>
      <c r="L43" s="262">
        <v>8173.2</v>
      </c>
      <c r="M43" s="263">
        <v>9193.7999999999993</v>
      </c>
      <c r="N43" s="60">
        <f t="shared" si="0"/>
        <v>91580.71</v>
      </c>
      <c r="O43" s="19">
        <f>SUM('MTRT 2010'!B27:M27)</f>
        <v>73152.570000000007</v>
      </c>
      <c r="P43" s="22">
        <f t="shared" si="2"/>
        <v>0.25191377418455696</v>
      </c>
      <c r="Q43" s="261" t="s">
        <v>224</v>
      </c>
    </row>
    <row r="44" spans="1:17">
      <c r="A44" s="261" t="s">
        <v>225</v>
      </c>
      <c r="B44" s="264"/>
      <c r="C44" s="264"/>
      <c r="D44" s="265"/>
      <c r="E44" s="262"/>
      <c r="F44" s="262"/>
      <c r="G44" s="262"/>
      <c r="H44" s="262"/>
      <c r="I44" s="262"/>
      <c r="J44" s="262">
        <v>0</v>
      </c>
      <c r="K44" s="262">
        <v>965.65</v>
      </c>
      <c r="L44" s="262">
        <v>1877.86</v>
      </c>
      <c r="M44" s="263">
        <v>670.02</v>
      </c>
      <c r="N44" s="60"/>
      <c r="O44" s="19"/>
      <c r="P44" s="22"/>
      <c r="Q44" s="261"/>
    </row>
    <row r="45" spans="1:17">
      <c r="A45" s="261" t="s">
        <v>226</v>
      </c>
      <c r="B45" s="264"/>
      <c r="C45" s="264"/>
      <c r="D45" s="265"/>
      <c r="E45" s="262"/>
      <c r="F45" s="262"/>
      <c r="G45" s="262"/>
      <c r="H45" s="262"/>
      <c r="I45" s="262"/>
      <c r="J45" s="262">
        <v>27380.9</v>
      </c>
      <c r="K45" s="262">
        <v>29728.53</v>
      </c>
      <c r="L45" s="262">
        <v>35199.15</v>
      </c>
      <c r="M45" s="263">
        <v>23304.799999999999</v>
      </c>
      <c r="N45" s="60"/>
      <c r="O45" s="19"/>
      <c r="P45" s="22"/>
      <c r="Q45" s="261"/>
    </row>
    <row r="46" spans="1:17">
      <c r="A46" s="261" t="s">
        <v>227</v>
      </c>
      <c r="B46" s="264">
        <v>535.71</v>
      </c>
      <c r="C46" s="264">
        <v>1291.53</v>
      </c>
      <c r="D46" s="265">
        <v>1185.6600000000001</v>
      </c>
      <c r="E46" s="262">
        <v>1223.53</v>
      </c>
      <c r="F46" s="262">
        <v>3075.17</v>
      </c>
      <c r="G46" s="262">
        <v>2159.41</v>
      </c>
      <c r="H46" s="262">
        <v>1602.52</v>
      </c>
      <c r="I46" s="262">
        <v>3169.49</v>
      </c>
      <c r="J46" s="262">
        <v>2723.34</v>
      </c>
      <c r="K46" s="262">
        <v>2661.14</v>
      </c>
      <c r="L46" s="262">
        <v>2949.3</v>
      </c>
      <c r="M46" s="263">
        <v>1812.49</v>
      </c>
      <c r="N46" s="60">
        <f t="shared" si="0"/>
        <v>24389.29</v>
      </c>
      <c r="O46" s="19">
        <f>SUM('MTRT 2010'!B28:M28)</f>
        <v>23712.65</v>
      </c>
      <c r="P46" s="22">
        <f t="shared" si="2"/>
        <v>2.8534980274241839E-2</v>
      </c>
      <c r="Q46" s="261" t="s">
        <v>227</v>
      </c>
    </row>
    <row r="47" spans="1:17">
      <c r="A47" s="261" t="s">
        <v>229</v>
      </c>
      <c r="B47" s="264">
        <v>878.12</v>
      </c>
      <c r="C47" s="264">
        <v>2228.06</v>
      </c>
      <c r="D47" s="265">
        <v>3636.64</v>
      </c>
      <c r="E47" s="262">
        <v>2007.84</v>
      </c>
      <c r="F47" s="262">
        <v>1656.53</v>
      </c>
      <c r="G47" s="262">
        <v>2543.42</v>
      </c>
      <c r="H47" s="262">
        <v>908</v>
      </c>
      <c r="I47" s="262">
        <v>3792.15</v>
      </c>
      <c r="J47" s="262">
        <v>303.19</v>
      </c>
      <c r="K47" s="262">
        <v>3168.27</v>
      </c>
      <c r="L47" s="262">
        <v>2178.38</v>
      </c>
      <c r="M47" s="263">
        <v>1174.47</v>
      </c>
      <c r="N47" s="60">
        <f t="shared" si="0"/>
        <v>24475.070000000003</v>
      </c>
      <c r="O47" s="19">
        <f>SUM('MTRT 2010'!B29:M29)</f>
        <v>22436.059999999998</v>
      </c>
      <c r="P47" s="22">
        <f t="shared" si="2"/>
        <v>9.0880930074175525E-2</v>
      </c>
      <c r="Q47" s="261" t="s">
        <v>229</v>
      </c>
    </row>
    <row r="48" spans="1:17">
      <c r="A48" s="261" t="s">
        <v>230</v>
      </c>
      <c r="B48" s="262">
        <v>1888.13</v>
      </c>
      <c r="C48" s="262">
        <v>4012.66</v>
      </c>
      <c r="D48" s="265">
        <v>3294.33</v>
      </c>
      <c r="E48" s="262">
        <v>3169.79</v>
      </c>
      <c r="F48" s="262">
        <v>7749.47</v>
      </c>
      <c r="G48" s="262">
        <v>7678.73</v>
      </c>
      <c r="H48" s="262">
        <v>3465.69</v>
      </c>
      <c r="I48" s="262">
        <v>7137.31</v>
      </c>
      <c r="J48" s="262">
        <v>7007.44</v>
      </c>
      <c r="K48" s="262">
        <v>6895.05</v>
      </c>
      <c r="L48" s="262">
        <v>6017.4</v>
      </c>
      <c r="M48" s="263">
        <v>4865.57</v>
      </c>
      <c r="N48" s="60">
        <f t="shared" si="0"/>
        <v>63181.570000000007</v>
      </c>
      <c r="O48" s="19">
        <f>SUM('MTRT 2010'!B30:M30)</f>
        <v>58013.619999999995</v>
      </c>
      <c r="P48" s="22">
        <f t="shared" si="2"/>
        <v>8.9081667373972051E-2</v>
      </c>
      <c r="Q48" s="261" t="s">
        <v>230</v>
      </c>
    </row>
    <row r="49" spans="1:17">
      <c r="A49" s="261" t="s">
        <v>232</v>
      </c>
      <c r="B49" s="262">
        <v>63.75</v>
      </c>
      <c r="C49" s="262">
        <v>701.44</v>
      </c>
      <c r="D49" s="265">
        <v>251.42</v>
      </c>
      <c r="E49" s="262">
        <v>863.89</v>
      </c>
      <c r="F49" s="262">
        <v>1608.17</v>
      </c>
      <c r="G49" s="262">
        <v>2227.12</v>
      </c>
      <c r="H49" s="262">
        <v>1333.07</v>
      </c>
      <c r="I49" s="262">
        <v>4355.29</v>
      </c>
      <c r="J49" s="262">
        <v>1488.13</v>
      </c>
      <c r="K49" s="262">
        <v>2647.5</v>
      </c>
      <c r="L49" s="262">
        <v>2979.95</v>
      </c>
      <c r="M49" s="263">
        <v>3495.69</v>
      </c>
      <c r="N49" s="60">
        <f t="shared" si="0"/>
        <v>22015.42</v>
      </c>
      <c r="O49" s="19">
        <f>SUM('MTRT 2010'!B31:M31)</f>
        <v>14623.87</v>
      </c>
      <c r="P49" s="22">
        <f t="shared" si="2"/>
        <v>0.50544418132819824</v>
      </c>
      <c r="Q49" s="261" t="s">
        <v>232</v>
      </c>
    </row>
    <row r="50" spans="1:17">
      <c r="A50" s="261" t="s">
        <v>233</v>
      </c>
      <c r="B50" s="264">
        <v>4099</v>
      </c>
      <c r="C50" s="264">
        <v>4568</v>
      </c>
      <c r="D50" s="265">
        <v>8442</v>
      </c>
      <c r="E50" s="262">
        <v>10433</v>
      </c>
      <c r="F50" s="262">
        <v>2114</v>
      </c>
      <c r="G50" s="262">
        <v>6138</v>
      </c>
      <c r="H50" s="262">
        <v>0</v>
      </c>
      <c r="I50" s="262">
        <v>1569.54</v>
      </c>
      <c r="J50" s="262">
        <v>5973.56</v>
      </c>
      <c r="K50" s="262">
        <v>5065.28</v>
      </c>
      <c r="L50" s="262">
        <v>7672.8</v>
      </c>
      <c r="M50" s="263">
        <v>9761.18</v>
      </c>
      <c r="N50" s="60">
        <f>SUM(B50:M50)</f>
        <v>65836.36</v>
      </c>
      <c r="O50" s="19">
        <f>SUM('MTRT 2010'!B41:M41)</f>
        <v>81520</v>
      </c>
      <c r="P50" s="22">
        <f>N50/O50-1</f>
        <v>-0.1923900883218842</v>
      </c>
      <c r="Q50" s="261" t="s">
        <v>233</v>
      </c>
    </row>
    <row r="51" spans="1:17">
      <c r="A51" s="261" t="s">
        <v>234</v>
      </c>
      <c r="B51" s="264"/>
      <c r="C51" s="264"/>
      <c r="D51" s="265"/>
      <c r="E51" s="262"/>
      <c r="F51" s="262"/>
      <c r="G51" s="262"/>
      <c r="H51" s="262"/>
      <c r="I51" s="262"/>
      <c r="J51" s="262">
        <v>0</v>
      </c>
      <c r="K51" s="262">
        <v>0</v>
      </c>
      <c r="L51" s="262">
        <v>0</v>
      </c>
      <c r="M51" s="263">
        <v>0</v>
      </c>
      <c r="N51" s="60"/>
      <c r="O51" s="19"/>
      <c r="P51" s="22"/>
      <c r="Q51" s="261"/>
    </row>
    <row r="52" spans="1:17">
      <c r="A52" s="261" t="s">
        <v>236</v>
      </c>
      <c r="B52" s="262">
        <v>23136.83</v>
      </c>
      <c r="C52" s="262">
        <v>24445.17</v>
      </c>
      <c r="D52" s="265">
        <v>21958.22</v>
      </c>
      <c r="E52" s="262">
        <v>28203.75</v>
      </c>
      <c r="F52" s="262">
        <v>38967.620000000003</v>
      </c>
      <c r="G52" s="262">
        <v>49206.86</v>
      </c>
      <c r="H52" s="262">
        <v>34383.08</v>
      </c>
      <c r="I52" s="262">
        <v>0</v>
      </c>
      <c r="J52" s="262">
        <v>29033.3</v>
      </c>
      <c r="K52" s="262">
        <v>31885.07</v>
      </c>
      <c r="L52" s="262">
        <v>45271.78</v>
      </c>
      <c r="M52" s="263">
        <v>38175.370000000003</v>
      </c>
      <c r="N52" s="60">
        <f t="shared" si="0"/>
        <v>364667.05000000005</v>
      </c>
      <c r="O52" s="19">
        <f>SUM('MTRT 2010'!B32:M32)</f>
        <v>400735.14</v>
      </c>
      <c r="P52" s="22">
        <f t="shared" si="2"/>
        <v>-9.0004809660565233E-2</v>
      </c>
      <c r="Q52" s="261" t="s">
        <v>236</v>
      </c>
    </row>
    <row r="53" spans="1:17">
      <c r="A53" s="261" t="s">
        <v>237</v>
      </c>
      <c r="B53" s="262">
        <v>0</v>
      </c>
      <c r="C53" s="262">
        <v>243.12</v>
      </c>
      <c r="D53" s="265">
        <v>2.74</v>
      </c>
      <c r="E53" s="262">
        <v>0</v>
      </c>
      <c r="F53" s="262">
        <v>52.88</v>
      </c>
      <c r="G53" s="262">
        <v>95.73</v>
      </c>
      <c r="H53" s="262">
        <v>61.01</v>
      </c>
      <c r="I53" s="262">
        <v>137.84</v>
      </c>
      <c r="J53" s="262">
        <v>0</v>
      </c>
      <c r="K53" s="262">
        <v>58.53</v>
      </c>
      <c r="L53" s="262">
        <v>89.53</v>
      </c>
      <c r="M53" s="263">
        <v>21.19</v>
      </c>
      <c r="N53" s="60">
        <f t="shared" si="0"/>
        <v>762.57</v>
      </c>
      <c r="O53" s="19">
        <f>SUM('MTRT 2010'!B33:M33)</f>
        <v>1424.2400000000002</v>
      </c>
      <c r="P53" s="22">
        <f t="shared" si="2"/>
        <v>-0.46457759928102016</v>
      </c>
      <c r="Q53" s="261" t="s">
        <v>237</v>
      </c>
    </row>
    <row r="54" spans="1:17">
      <c r="A54" s="261" t="s">
        <v>238</v>
      </c>
      <c r="B54" s="262">
        <v>5889.11</v>
      </c>
      <c r="C54" s="262">
        <v>4247.74</v>
      </c>
      <c r="D54" s="265">
        <v>1749.75</v>
      </c>
      <c r="E54" s="262">
        <v>4221.6400000000003</v>
      </c>
      <c r="F54" s="262">
        <v>10462.59</v>
      </c>
      <c r="G54" s="262">
        <v>18908.580000000002</v>
      </c>
      <c r="H54" s="262">
        <v>29293.040000000001</v>
      </c>
      <c r="I54" s="262">
        <v>25632.48</v>
      </c>
      <c r="J54" s="262">
        <v>19231.3</v>
      </c>
      <c r="K54" s="262">
        <v>32766.95</v>
      </c>
      <c r="L54" s="262">
        <v>26851.61</v>
      </c>
      <c r="M54" s="263">
        <v>15336.94</v>
      </c>
      <c r="N54" s="60">
        <f t="shared" si="0"/>
        <v>194591.73000000004</v>
      </c>
      <c r="O54" s="19">
        <f>SUM('MTRT 2010'!B34:M34)</f>
        <v>196448.07</v>
      </c>
      <c r="P54" s="22">
        <f t="shared" si="2"/>
        <v>-9.4495201709030585E-3</v>
      </c>
      <c r="Q54" s="261" t="s">
        <v>238</v>
      </c>
    </row>
    <row r="55" spans="1:17">
      <c r="A55" s="261" t="s">
        <v>239</v>
      </c>
      <c r="B55" s="262"/>
      <c r="C55" s="262"/>
      <c r="D55" s="265"/>
      <c r="E55" s="262"/>
      <c r="F55" s="262"/>
      <c r="G55" s="262"/>
      <c r="H55" s="262"/>
      <c r="I55" s="262"/>
      <c r="J55" s="262">
        <v>0</v>
      </c>
      <c r="K55" s="262">
        <v>0</v>
      </c>
      <c r="L55" s="262">
        <v>0</v>
      </c>
      <c r="M55" s="263">
        <v>0</v>
      </c>
      <c r="N55" s="60"/>
      <c r="O55" s="19"/>
      <c r="P55" s="22"/>
      <c r="Q55" s="261"/>
    </row>
    <row r="56" spans="1:17">
      <c r="A56" s="261" t="s">
        <v>240</v>
      </c>
      <c r="B56" s="262">
        <v>0</v>
      </c>
      <c r="C56" s="262">
        <v>21.54</v>
      </c>
      <c r="D56" s="265">
        <v>39.950000000000003</v>
      </c>
      <c r="E56" s="262">
        <v>33.01</v>
      </c>
      <c r="F56" s="262">
        <v>0</v>
      </c>
      <c r="G56" s="262">
        <v>1117.58</v>
      </c>
      <c r="H56" s="262">
        <v>981.06</v>
      </c>
      <c r="I56" s="262">
        <v>1041.3499999999999</v>
      </c>
      <c r="J56" s="262">
        <v>947.64</v>
      </c>
      <c r="K56" s="262">
        <v>619.53</v>
      </c>
      <c r="L56" s="262">
        <v>740.72</v>
      </c>
      <c r="M56" s="263">
        <v>669.11</v>
      </c>
      <c r="N56" s="60">
        <f t="shared" si="0"/>
        <v>6211.49</v>
      </c>
      <c r="O56" s="19">
        <f>SUM('MTRT 2010'!B35:M35)</f>
        <v>7078.4299999999994</v>
      </c>
      <c r="P56" s="22">
        <f t="shared" si="2"/>
        <v>-0.12247631183751195</v>
      </c>
      <c r="Q56" s="261" t="s">
        <v>240</v>
      </c>
    </row>
    <row r="57" spans="1:17">
      <c r="A57" s="261" t="s">
        <v>242</v>
      </c>
      <c r="B57" s="262">
        <v>183.55</v>
      </c>
      <c r="C57" s="262">
        <v>117.08</v>
      </c>
      <c r="D57" s="265">
        <v>142.86000000000001</v>
      </c>
      <c r="E57" s="262">
        <v>187.25</v>
      </c>
      <c r="F57" s="262">
        <v>99.03</v>
      </c>
      <c r="G57" s="262">
        <v>735.75</v>
      </c>
      <c r="H57" s="262">
        <v>492.75</v>
      </c>
      <c r="I57" s="262">
        <v>911.15</v>
      </c>
      <c r="J57" s="262">
        <v>691.09</v>
      </c>
      <c r="K57" s="262">
        <v>492.84</v>
      </c>
      <c r="L57" s="262">
        <v>616.71</v>
      </c>
      <c r="M57" s="263">
        <v>351.26</v>
      </c>
      <c r="N57" s="60">
        <f t="shared" si="0"/>
        <v>5021.3200000000006</v>
      </c>
      <c r="O57" s="19">
        <f>SUM('MTRT 2010'!B36:M36)</f>
        <v>4469.1399999999994</v>
      </c>
      <c r="P57" s="22">
        <f t="shared" si="2"/>
        <v>0.12355397235262289</v>
      </c>
      <c r="Q57" s="267" t="s">
        <v>242</v>
      </c>
    </row>
    <row r="58" spans="1:17">
      <c r="A58" s="261" t="s">
        <v>244</v>
      </c>
      <c r="B58" s="264">
        <v>1603.18</v>
      </c>
      <c r="C58" s="264">
        <v>2000.64</v>
      </c>
      <c r="D58" s="265">
        <v>1341.6</v>
      </c>
      <c r="E58" s="262">
        <v>1551.89</v>
      </c>
      <c r="F58" s="262">
        <v>1840.47</v>
      </c>
      <c r="G58" s="262">
        <v>1831.53</v>
      </c>
      <c r="H58" s="262">
        <v>2206.5</v>
      </c>
      <c r="I58" s="262">
        <v>2498.25</v>
      </c>
      <c r="J58" s="262">
        <v>2758.46</v>
      </c>
      <c r="K58" s="262">
        <v>2663.51</v>
      </c>
      <c r="L58" s="262">
        <v>2146.84</v>
      </c>
      <c r="M58" s="263">
        <v>1951.24</v>
      </c>
      <c r="N58" s="60">
        <f t="shared" si="0"/>
        <v>24394.11</v>
      </c>
      <c r="O58" s="19">
        <f>SUM('MTRT 2010'!B37:M37)</f>
        <v>23085.789999999997</v>
      </c>
      <c r="P58" s="22">
        <f t="shared" si="2"/>
        <v>5.6672091360096655E-2</v>
      </c>
      <c r="Q58" s="267" t="s">
        <v>244</v>
      </c>
    </row>
    <row r="59" spans="1:17">
      <c r="A59" s="261" t="s">
        <v>245</v>
      </c>
      <c r="B59" s="264">
        <v>7268.72</v>
      </c>
      <c r="C59" s="264">
        <v>8461.77</v>
      </c>
      <c r="D59" s="265">
        <v>5067.09</v>
      </c>
      <c r="E59" s="262">
        <v>9783.73</v>
      </c>
      <c r="F59" s="262">
        <v>9916.4699999999993</v>
      </c>
      <c r="G59" s="262">
        <v>10087.86</v>
      </c>
      <c r="H59" s="262">
        <v>7419.08</v>
      </c>
      <c r="I59" s="262">
        <v>14193.66</v>
      </c>
      <c r="J59" s="262">
        <v>8345</v>
      </c>
      <c r="K59" s="262">
        <v>9235.24</v>
      </c>
      <c r="L59" s="262">
        <v>10237.23</v>
      </c>
      <c r="M59" s="263">
        <v>7406.99</v>
      </c>
      <c r="N59" s="60">
        <f t="shared" si="0"/>
        <v>107422.84000000001</v>
      </c>
      <c r="O59" s="19">
        <f>SUM('MTRT 2010'!B38:M38)</f>
        <v>104621.56000000001</v>
      </c>
      <c r="P59" s="22">
        <f t="shared" si="2"/>
        <v>2.6775360642682156E-2</v>
      </c>
      <c r="Q59" s="267" t="s">
        <v>245</v>
      </c>
    </row>
    <row r="60" spans="1:17">
      <c r="A60" s="261" t="s">
        <v>246</v>
      </c>
      <c r="B60" s="264">
        <v>646.04</v>
      </c>
      <c r="C60" s="264">
        <v>579.36</v>
      </c>
      <c r="D60" s="265">
        <v>546.30999999999995</v>
      </c>
      <c r="E60" s="262">
        <v>603.39</v>
      </c>
      <c r="F60" s="262">
        <v>687.64</v>
      </c>
      <c r="G60" s="262">
        <v>721.19</v>
      </c>
      <c r="H60" s="262">
        <v>768.43</v>
      </c>
      <c r="I60" s="262">
        <v>934.49</v>
      </c>
      <c r="J60" s="262">
        <v>0</v>
      </c>
      <c r="K60" s="262">
        <v>1954.87</v>
      </c>
      <c r="L60" s="262">
        <v>655.57</v>
      </c>
      <c r="M60" s="263">
        <v>628.01</v>
      </c>
      <c r="N60" s="60">
        <f t="shared" si="0"/>
        <v>8725.2999999999993</v>
      </c>
      <c r="O60" s="19">
        <f>SUM('MTRT 2010'!B39:M39)</f>
        <v>8168.32</v>
      </c>
      <c r="P60" s="22">
        <f t="shared" si="2"/>
        <v>6.8187828096842429E-2</v>
      </c>
      <c r="Q60" s="267" t="s">
        <v>246</v>
      </c>
    </row>
    <row r="61" spans="1:17">
      <c r="A61" s="261" t="s">
        <v>247</v>
      </c>
      <c r="B61" s="264"/>
      <c r="C61" s="264"/>
      <c r="D61" s="265"/>
      <c r="E61" s="262"/>
      <c r="F61" s="262"/>
      <c r="G61" s="262"/>
      <c r="H61" s="262"/>
      <c r="I61" s="262"/>
      <c r="J61" s="262">
        <v>1020.51</v>
      </c>
      <c r="K61" s="262">
        <v>745.49</v>
      </c>
      <c r="L61" s="262">
        <v>562.26</v>
      </c>
      <c r="M61" s="263">
        <v>0</v>
      </c>
      <c r="N61" s="60"/>
      <c r="O61" s="19"/>
      <c r="P61" s="22"/>
      <c r="Q61" s="267"/>
    </row>
    <row r="62" spans="1:17">
      <c r="A62" s="261" t="s">
        <v>248</v>
      </c>
      <c r="B62" s="264">
        <v>3016.36</v>
      </c>
      <c r="C62" s="264">
        <v>3290.13</v>
      </c>
      <c r="D62" s="265">
        <v>3174.95</v>
      </c>
      <c r="E62" s="262">
        <v>2597.96</v>
      </c>
      <c r="F62" s="262">
        <v>5299.18</v>
      </c>
      <c r="G62" s="262">
        <v>3650.25</v>
      </c>
      <c r="H62" s="262">
        <v>3981.51</v>
      </c>
      <c r="I62" s="262">
        <v>6531.49</v>
      </c>
      <c r="J62" s="262">
        <v>4422.58</v>
      </c>
      <c r="K62" s="262">
        <v>4500.16</v>
      </c>
      <c r="L62" s="262">
        <v>4268.58</v>
      </c>
      <c r="M62" s="263">
        <v>2974.59</v>
      </c>
      <c r="N62" s="60">
        <f t="shared" si="0"/>
        <v>47707.739999999991</v>
      </c>
      <c r="O62" s="19">
        <f>SUM('MTRT 2010'!B40:M40)</f>
        <v>36583.369999999995</v>
      </c>
      <c r="P62" s="22">
        <f t="shared" si="2"/>
        <v>0.30408270205833943</v>
      </c>
      <c r="Q62" s="267" t="s">
        <v>248</v>
      </c>
    </row>
    <row r="63" spans="1:17" ht="13" thickBot="1">
      <c r="A63" s="272" t="s">
        <v>54</v>
      </c>
      <c r="B63" s="273">
        <f>SUM(B4:B62)</f>
        <v>159276.08999999997</v>
      </c>
      <c r="C63" s="273">
        <f t="shared" ref="C63:O63" si="3">SUM(C4:C62)</f>
        <v>142305.96999999997</v>
      </c>
      <c r="D63" s="273">
        <f t="shared" si="3"/>
        <v>125371.34</v>
      </c>
      <c r="E63" s="273">
        <f t="shared" si="3"/>
        <v>149244.62000000005</v>
      </c>
      <c r="F63" s="273">
        <f t="shared" si="3"/>
        <v>220407.58000000005</v>
      </c>
      <c r="G63" s="273">
        <f t="shared" si="3"/>
        <v>306170.46000000008</v>
      </c>
      <c r="H63" s="273">
        <f t="shared" si="3"/>
        <v>223992.08000000002</v>
      </c>
      <c r="I63" s="273">
        <f t="shared" si="3"/>
        <v>294288.91999999993</v>
      </c>
      <c r="J63" s="273">
        <f t="shared" si="3"/>
        <v>534612.99000000011</v>
      </c>
      <c r="K63" s="273">
        <f t="shared" si="3"/>
        <v>617422.96299999999</v>
      </c>
      <c r="L63" s="273">
        <f t="shared" si="3"/>
        <v>600543.55999999982</v>
      </c>
      <c r="M63" s="273">
        <f t="shared" si="3"/>
        <v>519556.83999999991</v>
      </c>
      <c r="N63" s="273">
        <f t="shared" si="3"/>
        <v>2777935.6630000006</v>
      </c>
      <c r="O63" s="273">
        <f t="shared" si="3"/>
        <v>2490985.7900000005</v>
      </c>
      <c r="P63" s="279">
        <f>N63/O63-1</f>
        <v>0.11519530707559755</v>
      </c>
      <c r="Q63" s="275"/>
    </row>
    <row r="64" spans="1:17">
      <c r="A64" s="276"/>
      <c r="B64" s="28">
        <f>B63/'MTRT 2010'!B46-1</f>
        <v>0.29034170752822042</v>
      </c>
      <c r="C64" s="28">
        <f>C63/'MTRT 2010'!C46-1</f>
        <v>0.15901725649726894</v>
      </c>
      <c r="D64" s="28">
        <f>D63/'MTRT 2010'!D46-1</f>
        <v>0.28632270975033913</v>
      </c>
      <c r="E64" s="28">
        <f>E63/'MTRT 2010'!E46-1</f>
        <v>1.6094564947429779E-2</v>
      </c>
      <c r="F64" s="28">
        <f>F63/'MTRT 2010'!F46-1</f>
        <v>0.22194138741683211</v>
      </c>
      <c r="G64" s="28">
        <f>G63/'MTRT 2010'!G46-1</f>
        <v>0.49909245234989297</v>
      </c>
      <c r="H64" s="28">
        <f>H63/'MTRT 2010'!H46-1</f>
        <v>-0.16450560015516869</v>
      </c>
      <c r="I64" s="28">
        <f>I63/'MTRT 2010'!I46-1</f>
        <v>1.113103748355404E-2</v>
      </c>
      <c r="J64" s="28">
        <f>J63/'MTRT 2010'!J46-1</f>
        <v>1.1320707575056166</v>
      </c>
      <c r="K64" s="28">
        <f>K63/'MTRT 2010'!K46-1</f>
        <v>1.4623222200881654</v>
      </c>
      <c r="L64" s="28">
        <f>L63/'MTRT 2010'!L46-1</f>
        <v>1.6299464313733827</v>
      </c>
      <c r="M64" s="28">
        <f>M63/'MTRT 2010'!M46-1</f>
        <v>1.1556219481786254</v>
      </c>
      <c r="N64" s="277"/>
      <c r="O64" s="1"/>
      <c r="P64" s="1"/>
      <c r="Q64" s="278"/>
    </row>
    <row r="65" spans="1:12">
      <c r="A65" s="280" t="s">
        <v>253</v>
      </c>
      <c r="C65" s="48"/>
      <c r="F65" s="48"/>
      <c r="I65" s="100"/>
    </row>
    <row r="67" spans="1:12">
      <c r="I67" s="100"/>
    </row>
    <row r="68" spans="1:12">
      <c r="A68" s="281"/>
      <c r="B68" s="247"/>
    </row>
    <row r="69" spans="1:12">
      <c r="A69" s="246"/>
      <c r="B69" s="247"/>
      <c r="F69" s="243"/>
    </row>
    <row r="70" spans="1:12">
      <c r="F70" s="243"/>
    </row>
    <row r="71" spans="1:12">
      <c r="F71" s="243"/>
    </row>
    <row r="72" spans="1:12">
      <c r="L72" s="249"/>
    </row>
    <row r="73" spans="1:12">
      <c r="L73" s="118"/>
    </row>
    <row r="74" spans="1:12">
      <c r="L74" s="227"/>
    </row>
  </sheetData>
  <mergeCells count="1">
    <mergeCell ref="A1:P1"/>
  </mergeCells>
  <printOptions horizontalCentered="1"/>
  <pageMargins left="0" right="0" top="0" bottom="0" header="0" footer="0"/>
  <pageSetup scale="8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 enableFormatConditionsCalculation="0">
    <tabColor rgb="FF00B050"/>
    <pageSetUpPr fitToPage="1"/>
  </sheetPr>
  <dimension ref="A1:Q55"/>
  <sheetViews>
    <sheetView workbookViewId="0">
      <pane xSplit="1" ySplit="1" topLeftCell="B2" activePane="bottomRight" state="frozen"/>
      <selection activeCell="J52" sqref="J52"/>
      <selection pane="topRight" activeCell="J52" sqref="J52"/>
      <selection pane="bottomLeft" activeCell="J52" sqref="J52"/>
      <selection pane="bottomRight" activeCell="J52" sqref="J52"/>
    </sheetView>
  </sheetViews>
  <sheetFormatPr baseColWidth="10" defaultColWidth="8.83203125" defaultRowHeight="12" x14ac:dyDescent="0"/>
  <cols>
    <col min="1" max="1" width="12.5" customWidth="1"/>
    <col min="13" max="13" width="8.83203125" style="48"/>
    <col min="17" max="17" width="12.83203125" customWidth="1"/>
  </cols>
  <sheetData>
    <row r="1" spans="1:17" ht="23">
      <c r="A1" s="711" t="s">
        <v>254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</row>
    <row r="2" spans="1:17" ht="13" thickBot="1">
      <c r="Q2" s="238"/>
    </row>
    <row r="3" spans="1:17" ht="13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251" t="s">
        <v>13</v>
      </c>
      <c r="N3" s="52" t="s">
        <v>107</v>
      </c>
      <c r="O3" s="251" t="s">
        <v>100</v>
      </c>
      <c r="P3" s="253" t="s">
        <v>16</v>
      </c>
      <c r="Q3" s="254"/>
    </row>
    <row r="4" spans="1:17" s="222" customFormat="1">
      <c r="A4" s="261" t="s">
        <v>154</v>
      </c>
      <c r="B4" s="262">
        <v>0</v>
      </c>
      <c r="C4" s="262">
        <v>238.06</v>
      </c>
      <c r="D4" s="262">
        <v>202.57</v>
      </c>
      <c r="E4" s="262">
        <v>214.2</v>
      </c>
      <c r="F4" s="262">
        <v>257.48</v>
      </c>
      <c r="G4" s="262">
        <v>292.55</v>
      </c>
      <c r="H4" s="262">
        <v>283.16000000000003</v>
      </c>
      <c r="I4" s="262">
        <v>265.56</v>
      </c>
      <c r="J4" s="262">
        <v>358.7</v>
      </c>
      <c r="K4" s="262">
        <v>363.75</v>
      </c>
      <c r="L4" s="262">
        <v>510.45</v>
      </c>
      <c r="M4" s="263">
        <v>561.66</v>
      </c>
      <c r="N4" s="60">
        <f t="shared" ref="N4:N10" si="0">SUM(B4:M4)</f>
        <v>3548.1399999999994</v>
      </c>
      <c r="O4" s="19">
        <f>SUM('MTRT 2009'!B4:M4)</f>
        <v>6176.1299999999992</v>
      </c>
      <c r="P4" s="22">
        <f>N4/O4-1</f>
        <v>-0.42550755894063108</v>
      </c>
      <c r="Q4" s="261" t="s">
        <v>154</v>
      </c>
    </row>
    <row r="5" spans="1:17">
      <c r="A5" s="267" t="s">
        <v>156</v>
      </c>
      <c r="B5" s="264">
        <v>624.23</v>
      </c>
      <c r="C5" s="264">
        <v>1491.93</v>
      </c>
      <c r="D5" s="265">
        <v>756.45</v>
      </c>
      <c r="E5" s="262">
        <v>720.24</v>
      </c>
      <c r="F5" s="262">
        <v>1559.25</v>
      </c>
      <c r="G5" s="262">
        <v>832.05</v>
      </c>
      <c r="H5" s="262">
        <v>823.75</v>
      </c>
      <c r="I5" s="262">
        <v>2312.1999999999998</v>
      </c>
      <c r="J5" s="262">
        <v>905.29</v>
      </c>
      <c r="K5" s="262">
        <v>985.79</v>
      </c>
      <c r="L5" s="262">
        <v>1456.82</v>
      </c>
      <c r="M5" s="263">
        <v>1968.01</v>
      </c>
      <c r="N5" s="60">
        <f t="shared" si="0"/>
        <v>14436.01</v>
      </c>
      <c r="O5" s="19">
        <f>SUM('MTRT 2009'!B6:M6)</f>
        <v>14967.380000000001</v>
      </c>
      <c r="P5" s="22">
        <f>N5/O5-1</f>
        <v>-3.5501871403011087E-2</v>
      </c>
      <c r="Q5" s="267" t="s">
        <v>156</v>
      </c>
    </row>
    <row r="6" spans="1:17">
      <c r="A6" s="267" t="s">
        <v>157</v>
      </c>
      <c r="B6" s="264">
        <v>533.59</v>
      </c>
      <c r="C6" s="264">
        <v>461.71</v>
      </c>
      <c r="D6" s="265">
        <v>525.75</v>
      </c>
      <c r="E6" s="262">
        <v>518.01</v>
      </c>
      <c r="F6" s="262">
        <v>536.67999999999995</v>
      </c>
      <c r="G6" s="262">
        <v>575.4</v>
      </c>
      <c r="H6" s="262">
        <v>561.04999999999995</v>
      </c>
      <c r="I6" s="262">
        <v>1319.08</v>
      </c>
      <c r="J6" s="262">
        <v>923.47</v>
      </c>
      <c r="K6" s="262">
        <v>1001.28</v>
      </c>
      <c r="L6" s="262">
        <v>1580.36</v>
      </c>
      <c r="M6" s="263">
        <v>487.76</v>
      </c>
      <c r="N6" s="60">
        <f t="shared" si="0"/>
        <v>9024.14</v>
      </c>
      <c r="O6" s="19">
        <f>SUM('MTRT 2009'!B7:M7)</f>
        <v>3725.46</v>
      </c>
      <c r="P6" s="22"/>
      <c r="Q6" s="267" t="s">
        <v>157</v>
      </c>
    </row>
    <row r="7" spans="1:17">
      <c r="A7" s="267" t="s">
        <v>161</v>
      </c>
      <c r="B7" s="264">
        <v>3778.06</v>
      </c>
      <c r="C7" s="264">
        <v>786.02</v>
      </c>
      <c r="D7" s="265">
        <v>1769.26</v>
      </c>
      <c r="E7" s="262">
        <v>1714.76</v>
      </c>
      <c r="F7" s="262">
        <v>2224.1999999999998</v>
      </c>
      <c r="G7" s="262">
        <v>2778.01</v>
      </c>
      <c r="H7" s="262">
        <v>2616.3200000000002</v>
      </c>
      <c r="I7" s="262">
        <v>2730.08</v>
      </c>
      <c r="J7" s="262">
        <v>2970.97</v>
      </c>
      <c r="K7" s="262">
        <v>2733.97</v>
      </c>
      <c r="L7" s="262">
        <v>1049.22</v>
      </c>
      <c r="M7" s="263">
        <v>1927.62</v>
      </c>
      <c r="N7" s="60">
        <f t="shared" si="0"/>
        <v>27078.49</v>
      </c>
      <c r="O7" s="19">
        <f>SUM('MTRT 2009'!B9:M9)</f>
        <v>17080.97</v>
      </c>
      <c r="P7" s="22">
        <f>N7/O7-1</f>
        <v>0.58530165441423998</v>
      </c>
      <c r="Q7" s="267" t="s">
        <v>161</v>
      </c>
    </row>
    <row r="8" spans="1:17">
      <c r="A8" s="267" t="s">
        <v>163</v>
      </c>
      <c r="B8" s="264">
        <v>5823.59</v>
      </c>
      <c r="C8" s="264">
        <v>2605.16</v>
      </c>
      <c r="D8" s="265">
        <v>2355.17</v>
      </c>
      <c r="E8" s="262">
        <v>3631.83</v>
      </c>
      <c r="F8" s="262">
        <v>6880.44</v>
      </c>
      <c r="G8" s="262">
        <v>5220.26</v>
      </c>
      <c r="H8" s="262">
        <v>5809.31</v>
      </c>
      <c r="I8" s="262">
        <v>6131.53</v>
      </c>
      <c r="J8" s="262">
        <v>5739.82</v>
      </c>
      <c r="K8" s="262">
        <v>5884.69</v>
      </c>
      <c r="L8" s="262">
        <v>5758.22</v>
      </c>
      <c r="M8" s="263">
        <v>9214.2000000000007</v>
      </c>
      <c r="N8" s="60">
        <f t="shared" si="0"/>
        <v>65054.22</v>
      </c>
      <c r="O8" s="19">
        <f>SUM('MTRT 2009'!B10:M10)</f>
        <v>53931.3</v>
      </c>
      <c r="P8" s="22">
        <f t="shared" ref="P8:P43" si="1">N8/O8-1</f>
        <v>0.20624238614682011</v>
      </c>
      <c r="Q8" s="267" t="s">
        <v>163</v>
      </c>
    </row>
    <row r="9" spans="1:17">
      <c r="A9" s="261" t="s">
        <v>255</v>
      </c>
      <c r="B9" s="264">
        <v>4194.37</v>
      </c>
      <c r="C9" s="264">
        <v>1581.85</v>
      </c>
      <c r="D9" s="265">
        <v>469.76</v>
      </c>
      <c r="E9" s="262">
        <v>549.27</v>
      </c>
      <c r="F9" s="262">
        <v>487.15</v>
      </c>
      <c r="G9" s="262">
        <v>453.16</v>
      </c>
      <c r="H9" s="262">
        <v>495.39</v>
      </c>
      <c r="I9" s="262">
        <v>749.37</v>
      </c>
      <c r="J9" s="262">
        <v>598.79</v>
      </c>
      <c r="K9" s="262">
        <v>695.35</v>
      </c>
      <c r="L9" s="262">
        <v>817.31</v>
      </c>
      <c r="M9" s="263">
        <v>4236.6400000000003</v>
      </c>
      <c r="N9" s="60">
        <f t="shared" si="0"/>
        <v>15328.41</v>
      </c>
      <c r="O9" s="19"/>
      <c r="P9" s="22"/>
      <c r="Q9" s="267" t="s">
        <v>166</v>
      </c>
    </row>
    <row r="10" spans="1:17">
      <c r="A10" s="261" t="s">
        <v>167</v>
      </c>
      <c r="B10" s="264">
        <v>0</v>
      </c>
      <c r="C10" s="263">
        <v>0</v>
      </c>
      <c r="D10" s="263">
        <v>0</v>
      </c>
      <c r="E10" s="263">
        <v>0</v>
      </c>
      <c r="F10" s="263">
        <v>0</v>
      </c>
      <c r="G10" s="263">
        <v>0</v>
      </c>
      <c r="H10" s="262">
        <v>294.81</v>
      </c>
      <c r="I10" s="262">
        <v>674.76</v>
      </c>
      <c r="J10" s="263">
        <v>0</v>
      </c>
      <c r="K10" s="262">
        <v>882.2</v>
      </c>
      <c r="L10" s="262">
        <v>309.20999999999998</v>
      </c>
      <c r="M10" s="263">
        <v>141.44999999999999</v>
      </c>
      <c r="N10" s="60">
        <f t="shared" si="0"/>
        <v>2302.4299999999998</v>
      </c>
      <c r="O10" s="19"/>
      <c r="P10" s="22"/>
      <c r="Q10" s="261" t="s">
        <v>167</v>
      </c>
    </row>
    <row r="11" spans="1:17">
      <c r="A11" s="261" t="s">
        <v>168</v>
      </c>
      <c r="B11" s="262">
        <v>8490.61</v>
      </c>
      <c r="C11" s="262">
        <v>8572.69</v>
      </c>
      <c r="D11" s="265">
        <v>10366.44</v>
      </c>
      <c r="E11" s="262">
        <v>11016.46</v>
      </c>
      <c r="F11" s="262">
        <v>10570.53</v>
      </c>
      <c r="G11" s="262">
        <v>12876.48</v>
      </c>
      <c r="H11" s="262">
        <v>12721.21</v>
      </c>
      <c r="I11" s="262">
        <v>14577.21</v>
      </c>
      <c r="J11" s="262">
        <v>15497.32</v>
      </c>
      <c r="K11" s="262">
        <v>15767.22</v>
      </c>
      <c r="L11" s="262">
        <v>12433.64</v>
      </c>
      <c r="M11" s="263">
        <v>12064.57</v>
      </c>
      <c r="N11" s="60">
        <f t="shared" ref="N11:N43" si="2">SUM(B11:M11)</f>
        <v>144954.38</v>
      </c>
      <c r="O11" s="19">
        <f>SUM('MTRT 2009'!B11:M11)</f>
        <v>152599.45000000001</v>
      </c>
      <c r="P11" s="22">
        <f t="shared" si="1"/>
        <v>-5.0098935481091234E-2</v>
      </c>
      <c r="Q11" s="267" t="s">
        <v>168</v>
      </c>
    </row>
    <row r="12" spans="1:17">
      <c r="A12" s="261" t="s">
        <v>256</v>
      </c>
      <c r="B12" s="266">
        <v>0</v>
      </c>
      <c r="C12" s="262">
        <v>386.16</v>
      </c>
      <c r="D12" s="263">
        <v>0</v>
      </c>
      <c r="E12" s="263">
        <v>0</v>
      </c>
      <c r="F12" s="263">
        <v>0</v>
      </c>
      <c r="G12" s="262">
        <v>393.96</v>
      </c>
      <c r="H12" s="263">
        <v>0</v>
      </c>
      <c r="I12" s="262">
        <v>457.72</v>
      </c>
      <c r="J12" s="263">
        <v>0</v>
      </c>
      <c r="K12" s="263">
        <v>0</v>
      </c>
      <c r="L12" s="262">
        <v>597.70000000000005</v>
      </c>
      <c r="M12" s="263">
        <v>0</v>
      </c>
      <c r="N12" s="60">
        <f t="shared" si="2"/>
        <v>1835.5400000000002</v>
      </c>
      <c r="O12" s="19"/>
      <c r="P12" s="22"/>
      <c r="Q12" s="261" t="s">
        <v>256</v>
      </c>
    </row>
    <row r="13" spans="1:17">
      <c r="A13" s="282" t="s">
        <v>172</v>
      </c>
      <c r="B13" s="262">
        <v>813</v>
      </c>
      <c r="C13" s="262">
        <v>808</v>
      </c>
      <c r="D13" s="265">
        <v>841</v>
      </c>
      <c r="E13" s="262">
        <v>949</v>
      </c>
      <c r="F13" s="262">
        <v>1139</v>
      </c>
      <c r="G13" s="266">
        <v>1471</v>
      </c>
      <c r="H13" s="262">
        <v>1760</v>
      </c>
      <c r="I13" s="262">
        <v>1812</v>
      </c>
      <c r="J13" s="262">
        <v>1274</v>
      </c>
      <c r="K13" s="262">
        <v>1045</v>
      </c>
      <c r="L13" s="262">
        <v>872</v>
      </c>
      <c r="M13" s="263">
        <v>889</v>
      </c>
      <c r="N13" s="60">
        <f t="shared" si="2"/>
        <v>13673</v>
      </c>
      <c r="O13" s="19">
        <f>SUM('MTRT 2009'!B12:M12)</f>
        <v>19093.3</v>
      </c>
      <c r="P13" s="22">
        <f t="shared" si="1"/>
        <v>-0.28388492298345491</v>
      </c>
      <c r="Q13" s="282" t="s">
        <v>172</v>
      </c>
    </row>
    <row r="14" spans="1:17">
      <c r="A14" s="261" t="s">
        <v>174</v>
      </c>
      <c r="B14" s="264">
        <v>809.46</v>
      </c>
      <c r="C14" s="264">
        <v>1409.19</v>
      </c>
      <c r="D14" s="265">
        <v>777.61</v>
      </c>
      <c r="E14" s="263" t="s">
        <v>257</v>
      </c>
      <c r="F14" s="262">
        <v>846.74</v>
      </c>
      <c r="G14" s="262">
        <v>782.75</v>
      </c>
      <c r="H14" s="262">
        <v>760.49</v>
      </c>
      <c r="I14" s="262">
        <v>1186.79</v>
      </c>
      <c r="J14" s="262">
        <v>929.58</v>
      </c>
      <c r="K14" s="262">
        <v>907.19</v>
      </c>
      <c r="L14" s="262">
        <v>820.36</v>
      </c>
      <c r="M14" s="263">
        <v>780.85</v>
      </c>
      <c r="N14" s="60">
        <f t="shared" si="2"/>
        <v>10011.01</v>
      </c>
      <c r="O14" s="19">
        <f>SUM('MTRT 2009'!B13:M13)</f>
        <v>10707.34</v>
      </c>
      <c r="P14" s="22">
        <f t="shared" si="1"/>
        <v>-6.5032958699359544E-2</v>
      </c>
      <c r="Q14" s="267" t="s">
        <v>174</v>
      </c>
    </row>
    <row r="15" spans="1:17">
      <c r="A15" s="261" t="s">
        <v>176</v>
      </c>
      <c r="B15" s="264">
        <v>2379.46</v>
      </c>
      <c r="C15" s="264">
        <v>2825.74</v>
      </c>
      <c r="D15" s="265">
        <v>1610.14</v>
      </c>
      <c r="E15" s="262">
        <v>1498.19</v>
      </c>
      <c r="F15" s="262">
        <v>4230.3900000000003</v>
      </c>
      <c r="G15" s="262">
        <v>6200.23</v>
      </c>
      <c r="H15" s="262">
        <v>9418.7900000000009</v>
      </c>
      <c r="I15" s="262">
        <v>10801.85</v>
      </c>
      <c r="J15" s="262">
        <v>7190</v>
      </c>
      <c r="K15" s="262">
        <v>7606.32</v>
      </c>
      <c r="L15" s="262">
        <v>7819.24</v>
      </c>
      <c r="M15" s="263">
        <v>8010.09</v>
      </c>
      <c r="N15" s="60">
        <f t="shared" si="2"/>
        <v>69590.44</v>
      </c>
      <c r="O15" s="19">
        <f>SUM('MTRT 2009'!B14:M14)</f>
        <v>64399.399999999994</v>
      </c>
      <c r="P15" s="22">
        <f t="shared" si="1"/>
        <v>8.0606962176666297E-2</v>
      </c>
      <c r="Q15" s="267" t="s">
        <v>176</v>
      </c>
    </row>
    <row r="16" spans="1:17">
      <c r="A16" s="261" t="s">
        <v>180</v>
      </c>
      <c r="B16" s="264">
        <v>18273.39</v>
      </c>
      <c r="C16" s="264">
        <v>20612.5</v>
      </c>
      <c r="D16" s="265">
        <v>5945.1</v>
      </c>
      <c r="E16" s="262">
        <v>9518.9</v>
      </c>
      <c r="F16" s="262">
        <v>47322.33</v>
      </c>
      <c r="G16" s="262">
        <v>56850.13</v>
      </c>
      <c r="H16" s="262">
        <v>80576.92</v>
      </c>
      <c r="I16" s="262">
        <v>90166.14</v>
      </c>
      <c r="J16" s="262">
        <v>68448.92</v>
      </c>
      <c r="K16" s="262">
        <v>65905.19</v>
      </c>
      <c r="L16" s="262">
        <v>76099.3</v>
      </c>
      <c r="M16" s="263">
        <v>62104.15</v>
      </c>
      <c r="N16" s="60">
        <f t="shared" si="2"/>
        <v>601822.97000000009</v>
      </c>
      <c r="O16" s="19">
        <f>SUM('MTRT 2009'!B15:M15)</f>
        <v>553377.72000000009</v>
      </c>
      <c r="P16" s="22">
        <f t="shared" si="1"/>
        <v>8.754463407019708E-2</v>
      </c>
      <c r="Q16" s="267" t="s">
        <v>180</v>
      </c>
    </row>
    <row r="17" spans="1:17">
      <c r="A17" s="261" t="s">
        <v>190</v>
      </c>
      <c r="B17" s="264">
        <v>609.38</v>
      </c>
      <c r="C17" s="264">
        <v>1059.0999999999999</v>
      </c>
      <c r="D17" s="263">
        <v>0</v>
      </c>
      <c r="E17" s="263">
        <v>0</v>
      </c>
      <c r="F17" s="262">
        <v>590.73</v>
      </c>
      <c r="G17" s="262">
        <v>1420.53</v>
      </c>
      <c r="H17" s="262">
        <v>824.97</v>
      </c>
      <c r="I17" s="262">
        <v>1723.77</v>
      </c>
      <c r="J17" s="262">
        <v>1685.96</v>
      </c>
      <c r="K17" s="262">
        <v>1206.71</v>
      </c>
      <c r="L17" s="262">
        <v>2333.63</v>
      </c>
      <c r="M17" s="263">
        <v>17313.900000000001</v>
      </c>
      <c r="N17" s="60">
        <f t="shared" si="2"/>
        <v>28768.68</v>
      </c>
      <c r="O17" s="19">
        <f>SUM('MTRT 2009'!B17:M17)</f>
        <v>12582.14</v>
      </c>
      <c r="P17" s="22">
        <f t="shared" si="1"/>
        <v>1.2864695512845987</v>
      </c>
      <c r="Q17" s="267" t="s">
        <v>190</v>
      </c>
    </row>
    <row r="18" spans="1:17">
      <c r="A18" s="261" t="s">
        <v>196</v>
      </c>
      <c r="B18" s="264">
        <v>1963.22</v>
      </c>
      <c r="C18" s="264">
        <v>1911.04</v>
      </c>
      <c r="D18" s="265">
        <v>4020.68</v>
      </c>
      <c r="E18" s="262">
        <v>4075.2</v>
      </c>
      <c r="F18" s="262">
        <v>5353.86</v>
      </c>
      <c r="G18" s="262">
        <v>2996.76</v>
      </c>
      <c r="H18" s="262">
        <v>1267.8699999999999</v>
      </c>
      <c r="I18" s="262">
        <v>1835.12</v>
      </c>
      <c r="J18" s="262">
        <v>1032.3399999999999</v>
      </c>
      <c r="K18" s="262">
        <v>1164.3699999999999</v>
      </c>
      <c r="L18" s="262">
        <v>2098.12</v>
      </c>
      <c r="M18" s="263">
        <v>868.42</v>
      </c>
      <c r="N18" s="60">
        <f t="shared" si="2"/>
        <v>28586.999999999996</v>
      </c>
      <c r="O18" s="19">
        <f>SUM('MTRT 2009'!B18:M18)</f>
        <v>28088.48</v>
      </c>
      <c r="P18" s="22">
        <f t="shared" si="1"/>
        <v>1.7748201397868257E-2</v>
      </c>
      <c r="Q18" s="267" t="s">
        <v>197</v>
      </c>
    </row>
    <row r="19" spans="1:17">
      <c r="A19" s="261" t="s">
        <v>199</v>
      </c>
      <c r="B19" s="264">
        <v>1934.32</v>
      </c>
      <c r="C19" s="264">
        <v>4042.85</v>
      </c>
      <c r="D19" s="265">
        <v>2960.65</v>
      </c>
      <c r="E19" s="262">
        <v>3721.24</v>
      </c>
      <c r="F19" s="262">
        <v>3386.01</v>
      </c>
      <c r="G19" s="262">
        <v>2156.98</v>
      </c>
      <c r="H19" s="262">
        <v>2403.12</v>
      </c>
      <c r="I19" s="262">
        <v>2577.15</v>
      </c>
      <c r="J19" s="262">
        <v>2813.58</v>
      </c>
      <c r="K19" s="262">
        <v>3310.85</v>
      </c>
      <c r="L19" s="262">
        <v>2830.57</v>
      </c>
      <c r="M19" s="263">
        <v>5038.21</v>
      </c>
      <c r="N19" s="60">
        <f t="shared" si="2"/>
        <v>37175.53</v>
      </c>
      <c r="O19" s="19">
        <f>SUM('MTRT 2009'!B19:M19)</f>
        <v>37848.35</v>
      </c>
      <c r="P19" s="22">
        <f t="shared" si="1"/>
        <v>-1.7776732671305306E-2</v>
      </c>
      <c r="Q19" s="267" t="s">
        <v>199</v>
      </c>
    </row>
    <row r="20" spans="1:17">
      <c r="A20" s="261" t="s">
        <v>204</v>
      </c>
      <c r="B20" s="264">
        <v>1195.71</v>
      </c>
      <c r="C20" s="264">
        <v>2068.52</v>
      </c>
      <c r="D20" s="265">
        <v>1685.95</v>
      </c>
      <c r="E20" s="262">
        <v>1659.97</v>
      </c>
      <c r="F20" s="262">
        <v>1069.54</v>
      </c>
      <c r="G20" s="262">
        <v>3173.37</v>
      </c>
      <c r="H20" s="262">
        <v>1922.24</v>
      </c>
      <c r="I20" s="262">
        <v>2862.04</v>
      </c>
      <c r="J20" s="262">
        <v>2284.4299999999998</v>
      </c>
      <c r="K20" s="262">
        <v>3396.41</v>
      </c>
      <c r="L20" s="262">
        <v>1517.72</v>
      </c>
      <c r="M20" s="263">
        <v>2136.54</v>
      </c>
      <c r="N20" s="60">
        <f t="shared" si="2"/>
        <v>24972.440000000002</v>
      </c>
      <c r="O20" s="19">
        <f>SUM('MTRT 2009'!B20:M20)</f>
        <v>28070.879999999997</v>
      </c>
      <c r="P20" s="22">
        <f t="shared" si="1"/>
        <v>-0.11037915448322233</v>
      </c>
      <c r="Q20" s="267" t="s">
        <v>204</v>
      </c>
    </row>
    <row r="21" spans="1:17" s="154" customFormat="1">
      <c r="A21" s="283" t="s">
        <v>205</v>
      </c>
      <c r="B21" s="262">
        <v>1402.56</v>
      </c>
      <c r="C21" s="262">
        <v>1654.82</v>
      </c>
      <c r="D21" s="265">
        <v>1639.31</v>
      </c>
      <c r="E21" s="262">
        <v>1952.82</v>
      </c>
      <c r="F21" s="262">
        <v>2121.41</v>
      </c>
      <c r="G21" s="262">
        <v>1807.21</v>
      </c>
      <c r="H21" s="262">
        <v>1904.02</v>
      </c>
      <c r="I21" s="262">
        <v>1989.45</v>
      </c>
      <c r="J21" s="262">
        <v>2137.6799999999998</v>
      </c>
      <c r="K21" s="262">
        <v>2255.2199999999998</v>
      </c>
      <c r="L21" s="262">
        <v>1746.6</v>
      </c>
      <c r="M21" s="263">
        <v>1748.91</v>
      </c>
      <c r="N21" s="60">
        <f t="shared" si="2"/>
        <v>22360.010000000002</v>
      </c>
      <c r="O21" s="19">
        <f>SUM('MTRT 2009'!B21:M21)</f>
        <v>22724.23</v>
      </c>
      <c r="P21" s="22">
        <f t="shared" si="1"/>
        <v>-1.6027825805318696E-2</v>
      </c>
      <c r="Q21" s="282" t="s">
        <v>205</v>
      </c>
    </row>
    <row r="22" spans="1:17" s="154" customFormat="1">
      <c r="A22" s="283" t="s">
        <v>206</v>
      </c>
      <c r="B22" s="262">
        <v>14660</v>
      </c>
      <c r="C22" s="262">
        <v>16881</v>
      </c>
      <c r="D22" s="263">
        <v>0</v>
      </c>
      <c r="E22" s="262">
        <v>36810</v>
      </c>
      <c r="F22" s="262">
        <v>2105</v>
      </c>
      <c r="G22" s="263">
        <v>0</v>
      </c>
      <c r="H22" s="262">
        <v>42783</v>
      </c>
      <c r="I22" s="262">
        <v>18339</v>
      </c>
      <c r="J22" s="263">
        <v>0</v>
      </c>
      <c r="K22" s="262">
        <v>35315</v>
      </c>
      <c r="L22" s="262">
        <v>4030</v>
      </c>
      <c r="M22" s="263">
        <v>0</v>
      </c>
      <c r="N22" s="60">
        <f t="shared" si="2"/>
        <v>170923</v>
      </c>
      <c r="O22" s="19">
        <f>SUM('MTRT 2009'!B22:M22)</f>
        <v>120726</v>
      </c>
      <c r="P22" s="22">
        <f t="shared" si="1"/>
        <v>0.41579278697215183</v>
      </c>
      <c r="Q22" s="283" t="s">
        <v>206</v>
      </c>
    </row>
    <row r="23" spans="1:17">
      <c r="A23" s="261" t="s">
        <v>208</v>
      </c>
      <c r="B23" s="264">
        <v>466.28</v>
      </c>
      <c r="C23" s="264">
        <v>1733.6</v>
      </c>
      <c r="D23" s="265">
        <v>374.13</v>
      </c>
      <c r="E23" s="262">
        <v>337.79</v>
      </c>
      <c r="F23" s="262">
        <v>2105.85</v>
      </c>
      <c r="G23" s="262">
        <v>1222.8499999999999</v>
      </c>
      <c r="H23" s="262">
        <v>1261.78</v>
      </c>
      <c r="I23" s="262">
        <v>4710.1400000000003</v>
      </c>
      <c r="J23" s="262">
        <v>1546.43</v>
      </c>
      <c r="K23" s="262">
        <v>1732.15</v>
      </c>
      <c r="L23" s="262">
        <v>4748.0200000000004</v>
      </c>
      <c r="M23" s="263">
        <v>1696.55</v>
      </c>
      <c r="N23" s="60">
        <f t="shared" si="2"/>
        <v>21935.57</v>
      </c>
      <c r="O23" s="19">
        <f>SUM('MTRT 2009'!B23:M23)</f>
        <v>20768.11</v>
      </c>
      <c r="P23" s="22">
        <f t="shared" si="1"/>
        <v>5.6214070514842174E-2</v>
      </c>
      <c r="Q23" s="267" t="s">
        <v>208</v>
      </c>
    </row>
    <row r="24" spans="1:17">
      <c r="A24" s="261" t="s">
        <v>209</v>
      </c>
      <c r="B24" s="264">
        <v>174.66</v>
      </c>
      <c r="C24" s="264">
        <v>1850.07</v>
      </c>
      <c r="D24" s="265">
        <v>153.94999999999999</v>
      </c>
      <c r="E24" s="262">
        <v>673.16</v>
      </c>
      <c r="F24" s="262">
        <v>563.63</v>
      </c>
      <c r="G24" s="262">
        <v>1112.5899999999999</v>
      </c>
      <c r="H24" s="262">
        <v>2835.53</v>
      </c>
      <c r="I24" s="262">
        <v>2358.98</v>
      </c>
      <c r="J24" s="262">
        <v>512.9</v>
      </c>
      <c r="K24" s="262">
        <v>2996.38</v>
      </c>
      <c r="L24" s="262">
        <v>1276.8499999999999</v>
      </c>
      <c r="M24" s="263">
        <v>1898.2</v>
      </c>
      <c r="N24" s="60">
        <f t="shared" si="2"/>
        <v>16406.899999999998</v>
      </c>
      <c r="O24" s="19">
        <f>SUM('MTRT 2009'!B24:M24)</f>
        <v>17708.330000000002</v>
      </c>
      <c r="P24" s="22">
        <f t="shared" si="1"/>
        <v>-7.3492531480947365E-2</v>
      </c>
      <c r="Q24" s="267" t="s">
        <v>209</v>
      </c>
    </row>
    <row r="25" spans="1:17">
      <c r="A25" s="282" t="s">
        <v>212</v>
      </c>
      <c r="B25" s="264">
        <v>3267</v>
      </c>
      <c r="C25" s="264">
        <v>3267</v>
      </c>
      <c r="D25" s="265">
        <v>3267</v>
      </c>
      <c r="E25" s="262">
        <v>5844</v>
      </c>
      <c r="F25" s="262">
        <v>5844</v>
      </c>
      <c r="G25" s="262">
        <v>5844</v>
      </c>
      <c r="H25" s="262">
        <v>7564</v>
      </c>
      <c r="I25" s="262">
        <v>7564</v>
      </c>
      <c r="J25" s="262">
        <v>7564</v>
      </c>
      <c r="K25" s="262">
        <v>3560</v>
      </c>
      <c r="L25" s="262">
        <v>3560</v>
      </c>
      <c r="M25" s="263">
        <v>3560</v>
      </c>
      <c r="N25" s="60">
        <f t="shared" si="2"/>
        <v>60705</v>
      </c>
      <c r="O25" s="19">
        <f>SUM('MTRT 2009'!B26:M26)</f>
        <v>58108</v>
      </c>
      <c r="P25" s="22">
        <f t="shared" si="1"/>
        <v>4.4692641288635038E-2</v>
      </c>
      <c r="Q25" s="267"/>
    </row>
    <row r="26" spans="1:17">
      <c r="A26" s="261" t="s">
        <v>216</v>
      </c>
      <c r="B26" s="264">
        <v>3960.77</v>
      </c>
      <c r="C26" s="264">
        <v>1133.55</v>
      </c>
      <c r="D26" s="265">
        <v>3176.57</v>
      </c>
      <c r="E26" s="262">
        <v>2634.94</v>
      </c>
      <c r="F26" s="262">
        <v>3474.75</v>
      </c>
      <c r="G26" s="262">
        <v>3693.08</v>
      </c>
      <c r="H26" s="262">
        <v>3926.92</v>
      </c>
      <c r="I26" s="262">
        <v>5112.8900000000003</v>
      </c>
      <c r="J26" s="262">
        <v>4198.41</v>
      </c>
      <c r="K26" s="262">
        <v>4447.62</v>
      </c>
      <c r="L26" s="262">
        <v>4788.37</v>
      </c>
      <c r="M26" s="263">
        <v>3871.78</v>
      </c>
      <c r="N26" s="60">
        <f t="shared" si="2"/>
        <v>44419.65</v>
      </c>
      <c r="O26" s="19">
        <f>SUM('MTRT 2009'!B28:M28)</f>
        <v>37576.090000000004</v>
      </c>
      <c r="P26" s="22">
        <f t="shared" si="1"/>
        <v>0.18212538877781048</v>
      </c>
      <c r="Q26" s="267" t="s">
        <v>216</v>
      </c>
    </row>
    <row r="27" spans="1:17">
      <c r="A27" s="261" t="s">
        <v>224</v>
      </c>
      <c r="B27" s="264">
        <v>4808.66</v>
      </c>
      <c r="C27" s="264">
        <v>3342.22</v>
      </c>
      <c r="D27" s="265">
        <v>3892.92</v>
      </c>
      <c r="E27" s="262">
        <v>4301.68</v>
      </c>
      <c r="F27" s="262">
        <v>2052.1799999999998</v>
      </c>
      <c r="G27" s="262">
        <v>10254.74</v>
      </c>
      <c r="H27" s="262">
        <v>6493.05</v>
      </c>
      <c r="I27" s="262">
        <v>6608.68</v>
      </c>
      <c r="J27" s="262">
        <v>8013.71</v>
      </c>
      <c r="K27" s="262">
        <v>8971.7000000000007</v>
      </c>
      <c r="L27" s="262">
        <v>3596.33</v>
      </c>
      <c r="M27" s="263">
        <v>10816.7</v>
      </c>
      <c r="N27" s="60">
        <f t="shared" si="2"/>
        <v>73152.570000000007</v>
      </c>
      <c r="O27" s="19">
        <f>SUM('MTRT 2009'!B30:M30)</f>
        <v>65297.229999999996</v>
      </c>
      <c r="P27" s="22">
        <f t="shared" si="1"/>
        <v>0.12030127464825102</v>
      </c>
      <c r="Q27" s="267" t="s">
        <v>224</v>
      </c>
    </row>
    <row r="28" spans="1:17">
      <c r="A28" s="261" t="s">
        <v>227</v>
      </c>
      <c r="B28" s="264">
        <v>1169.3399999999999</v>
      </c>
      <c r="C28" s="264">
        <v>663.1</v>
      </c>
      <c r="D28" s="265">
        <v>2204.7600000000002</v>
      </c>
      <c r="E28" s="262">
        <v>1273.6600000000001</v>
      </c>
      <c r="F28" s="262">
        <v>573.41999999999996</v>
      </c>
      <c r="G28" s="262">
        <v>2458.8000000000002</v>
      </c>
      <c r="H28" s="262">
        <v>1875.72</v>
      </c>
      <c r="I28" s="262">
        <v>4081.3</v>
      </c>
      <c r="J28" s="262">
        <v>1578.39</v>
      </c>
      <c r="K28" s="262">
        <v>2629.41</v>
      </c>
      <c r="L28" s="262">
        <v>2219.87</v>
      </c>
      <c r="M28" s="263">
        <v>2984.88</v>
      </c>
      <c r="N28" s="60">
        <f t="shared" si="2"/>
        <v>23712.65</v>
      </c>
      <c r="O28" s="19">
        <f>SUM('MTRT 2009'!B31:M31)</f>
        <v>24595.68</v>
      </c>
      <c r="P28" s="22">
        <f t="shared" si="1"/>
        <v>-3.5901833167450548E-2</v>
      </c>
      <c r="Q28" s="267" t="s">
        <v>227</v>
      </c>
    </row>
    <row r="29" spans="1:17">
      <c r="A29" s="261" t="s">
        <v>229</v>
      </c>
      <c r="B29" s="264">
        <v>3335.08</v>
      </c>
      <c r="C29" s="264">
        <v>626.11</v>
      </c>
      <c r="D29" s="265">
        <v>1943</v>
      </c>
      <c r="E29" s="262">
        <v>1009.18</v>
      </c>
      <c r="F29" s="262">
        <v>4365.17</v>
      </c>
      <c r="G29" s="262">
        <v>800.1</v>
      </c>
      <c r="H29" s="262">
        <v>980.81</v>
      </c>
      <c r="I29" s="262">
        <v>3467.3</v>
      </c>
      <c r="J29" s="262">
        <v>2070.92</v>
      </c>
      <c r="K29" s="262">
        <v>288.97000000000003</v>
      </c>
      <c r="L29" s="262">
        <v>2193.94</v>
      </c>
      <c r="M29" s="263">
        <v>1355.48</v>
      </c>
      <c r="N29" s="60">
        <f t="shared" si="2"/>
        <v>22436.059999999998</v>
      </c>
      <c r="O29" s="19">
        <f>SUM('MTRT 2009'!B32:M32)</f>
        <v>18976.509999999998</v>
      </c>
      <c r="P29" s="22">
        <f t="shared" si="1"/>
        <v>0.18230696793035173</v>
      </c>
      <c r="Q29" s="267" t="s">
        <v>229</v>
      </c>
    </row>
    <row r="30" spans="1:17">
      <c r="A30" s="261" t="s">
        <v>230</v>
      </c>
      <c r="B30" s="262">
        <v>2229.04</v>
      </c>
      <c r="C30" s="262">
        <v>3030.67</v>
      </c>
      <c r="D30" s="265">
        <v>8061.89</v>
      </c>
      <c r="E30" s="262">
        <v>4656.46</v>
      </c>
      <c r="F30" s="262">
        <v>3985.04</v>
      </c>
      <c r="G30" s="262">
        <v>3113.25</v>
      </c>
      <c r="H30" s="262">
        <v>2803.96</v>
      </c>
      <c r="I30" s="262">
        <v>6803.23</v>
      </c>
      <c r="J30" s="262">
        <v>6891.85</v>
      </c>
      <c r="K30" s="262">
        <v>6359.48</v>
      </c>
      <c r="L30" s="262">
        <v>5046.09</v>
      </c>
      <c r="M30" s="263">
        <v>5032.66</v>
      </c>
      <c r="N30" s="60">
        <f t="shared" si="2"/>
        <v>58013.619999999995</v>
      </c>
      <c r="O30" s="19">
        <f>SUM('MTRT 2009'!B33:M33)</f>
        <v>45929</v>
      </c>
      <c r="P30" s="22">
        <f t="shared" si="1"/>
        <v>0.26311524309259937</v>
      </c>
      <c r="Q30" s="267" t="s">
        <v>230</v>
      </c>
    </row>
    <row r="31" spans="1:17">
      <c r="A31" s="261" t="s">
        <v>232</v>
      </c>
      <c r="B31" s="262">
        <v>0</v>
      </c>
      <c r="C31" s="262">
        <v>1443.6</v>
      </c>
      <c r="D31" s="265">
        <v>1354.49</v>
      </c>
      <c r="E31" s="262">
        <v>406.49</v>
      </c>
      <c r="F31" s="262">
        <v>1484.11</v>
      </c>
      <c r="G31" s="262">
        <v>897.28</v>
      </c>
      <c r="H31" s="262">
        <v>1045.92</v>
      </c>
      <c r="I31" s="262">
        <v>1581.76</v>
      </c>
      <c r="J31" s="262">
        <v>973.73</v>
      </c>
      <c r="K31" s="262">
        <v>1480.62</v>
      </c>
      <c r="L31" s="262">
        <v>1822.38</v>
      </c>
      <c r="M31" s="263">
        <v>2133.4899999999998</v>
      </c>
      <c r="N31" s="60">
        <f>SUM(B31:M31)</f>
        <v>14623.87</v>
      </c>
      <c r="O31" s="19">
        <f>SUM('MTRT 2009'!B34:M34)</f>
        <v>13252.939999999999</v>
      </c>
      <c r="P31" s="22">
        <f>N31/O31-1</f>
        <v>0.10344346235627744</v>
      </c>
      <c r="Q31" s="267" t="s">
        <v>232</v>
      </c>
    </row>
    <row r="32" spans="1:17">
      <c r="A32" s="261" t="s">
        <v>236</v>
      </c>
      <c r="B32" s="262">
        <v>20579.25</v>
      </c>
      <c r="C32" s="262">
        <v>24822.46</v>
      </c>
      <c r="D32" s="265">
        <v>18221.68</v>
      </c>
      <c r="E32" s="262">
        <v>31505.94</v>
      </c>
      <c r="F32" s="262">
        <v>44226.31</v>
      </c>
      <c r="G32" s="262">
        <v>44454.66</v>
      </c>
      <c r="H32" s="262">
        <v>36715.54</v>
      </c>
      <c r="I32" s="262">
        <v>41711.65</v>
      </c>
      <c r="J32" s="262">
        <v>28412.18</v>
      </c>
      <c r="K32" s="262">
        <v>30484.92</v>
      </c>
      <c r="L32" s="262">
        <v>33587.64</v>
      </c>
      <c r="M32" s="263">
        <v>46012.91</v>
      </c>
      <c r="N32" s="60">
        <f t="shared" si="2"/>
        <v>400735.14</v>
      </c>
      <c r="O32" s="19">
        <f>SUM('MTRT 2009'!B35:M35)</f>
        <v>344035.35000000003</v>
      </c>
      <c r="P32" s="22">
        <f t="shared" si="1"/>
        <v>0.16480803498826502</v>
      </c>
      <c r="Q32" s="267" t="s">
        <v>236</v>
      </c>
    </row>
    <row r="33" spans="1:17">
      <c r="A33" s="261" t="s">
        <v>237</v>
      </c>
      <c r="B33" s="262">
        <v>0</v>
      </c>
      <c r="C33" s="262">
        <v>279.52</v>
      </c>
      <c r="D33" s="263">
        <v>0</v>
      </c>
      <c r="E33" s="263">
        <v>0</v>
      </c>
      <c r="F33" s="262">
        <v>379.44</v>
      </c>
      <c r="G33" s="263">
        <v>0</v>
      </c>
      <c r="H33" s="262">
        <v>5.81</v>
      </c>
      <c r="I33" s="262">
        <v>589.4</v>
      </c>
      <c r="J33" s="263">
        <v>0</v>
      </c>
      <c r="K33" s="262">
        <v>143.63</v>
      </c>
      <c r="L33" s="262">
        <v>26.44</v>
      </c>
      <c r="M33" s="263">
        <v>0</v>
      </c>
      <c r="N33" s="60">
        <f>SUM(B33:M33)</f>
        <v>1424.2400000000002</v>
      </c>
      <c r="O33" s="19">
        <f>SUM('MTRT 2009'!B37:M37)</f>
        <v>1224.7800000000002</v>
      </c>
      <c r="P33" s="22">
        <f>N33/O33-1</f>
        <v>0.16285373699766481</v>
      </c>
      <c r="Q33" s="267" t="s">
        <v>237</v>
      </c>
    </row>
    <row r="34" spans="1:17">
      <c r="A34" s="261" t="s">
        <v>238</v>
      </c>
      <c r="B34" s="262">
        <v>7135.14</v>
      </c>
      <c r="C34" s="262">
        <v>3822.39</v>
      </c>
      <c r="D34" s="265">
        <v>2987.45</v>
      </c>
      <c r="E34" s="262">
        <v>6496.5</v>
      </c>
      <c r="F34" s="262">
        <v>10000.450000000001</v>
      </c>
      <c r="G34" s="262">
        <v>21157.49</v>
      </c>
      <c r="H34" s="262">
        <v>23084.75</v>
      </c>
      <c r="I34" s="262">
        <v>29277.71</v>
      </c>
      <c r="J34" s="262">
        <v>22796.13</v>
      </c>
      <c r="K34" s="262">
        <v>23053.11</v>
      </c>
      <c r="L34" s="262">
        <v>26546.53</v>
      </c>
      <c r="M34" s="263">
        <v>20090.419999999998</v>
      </c>
      <c r="N34" s="60">
        <f t="shared" si="2"/>
        <v>196448.07</v>
      </c>
      <c r="O34" s="19">
        <f>SUM('MTRT 2009'!B39:M39)</f>
        <v>180883.94999999998</v>
      </c>
      <c r="P34" s="22">
        <f t="shared" si="1"/>
        <v>8.6044781750951538E-2</v>
      </c>
      <c r="Q34" s="267" t="s">
        <v>238</v>
      </c>
    </row>
    <row r="35" spans="1:17">
      <c r="A35" s="267" t="s">
        <v>240</v>
      </c>
      <c r="B35" s="262">
        <v>199.15</v>
      </c>
      <c r="C35" s="262">
        <v>34.64</v>
      </c>
      <c r="D35" s="265">
        <v>33.49</v>
      </c>
      <c r="E35" s="262">
        <v>100.91</v>
      </c>
      <c r="F35" s="262">
        <v>394.88</v>
      </c>
      <c r="G35" s="262">
        <v>937.75</v>
      </c>
      <c r="H35" s="262">
        <v>943.31</v>
      </c>
      <c r="I35" s="262">
        <v>1124.6600000000001</v>
      </c>
      <c r="J35" s="262">
        <v>1008.53</v>
      </c>
      <c r="K35" s="262">
        <v>520.86</v>
      </c>
      <c r="L35" s="262">
        <v>809.74</v>
      </c>
      <c r="M35" s="263">
        <v>970.51</v>
      </c>
      <c r="N35" s="60">
        <f t="shared" si="2"/>
        <v>7078.4299999999994</v>
      </c>
      <c r="O35" s="19">
        <f>SUM('MTRT 2009'!B40:M40)</f>
        <v>6166.7</v>
      </c>
      <c r="P35" s="22">
        <f t="shared" si="1"/>
        <v>0.14784730893346509</v>
      </c>
      <c r="Q35" s="267" t="s">
        <v>240</v>
      </c>
    </row>
    <row r="36" spans="1:17">
      <c r="A36" s="267" t="s">
        <v>242</v>
      </c>
      <c r="B36" s="262">
        <v>331.06</v>
      </c>
      <c r="C36" s="262">
        <v>65.540000000000006</v>
      </c>
      <c r="D36" s="265">
        <v>137.97999999999999</v>
      </c>
      <c r="E36" s="262">
        <v>109.08</v>
      </c>
      <c r="F36" s="262">
        <v>465.8</v>
      </c>
      <c r="G36" s="262">
        <v>483.49</v>
      </c>
      <c r="H36" s="262">
        <v>379.36</v>
      </c>
      <c r="I36" s="262">
        <v>414.76</v>
      </c>
      <c r="J36" s="262">
        <v>278.81</v>
      </c>
      <c r="K36" s="262">
        <v>1005.55</v>
      </c>
      <c r="L36" s="262">
        <v>496</v>
      </c>
      <c r="M36" s="263">
        <v>301.70999999999998</v>
      </c>
      <c r="N36" s="60">
        <f t="shared" si="2"/>
        <v>4469.1399999999994</v>
      </c>
      <c r="O36" s="19">
        <f>SUM('MTRT 2009'!B41:M41)</f>
        <v>3173.08</v>
      </c>
      <c r="P36" s="22">
        <f t="shared" si="1"/>
        <v>0.40845487664981639</v>
      </c>
      <c r="Q36" s="267" t="s">
        <v>242</v>
      </c>
    </row>
    <row r="37" spans="1:17">
      <c r="A37" s="267" t="s">
        <v>244</v>
      </c>
      <c r="B37" s="264">
        <v>1453.56</v>
      </c>
      <c r="C37" s="264">
        <v>1278.47</v>
      </c>
      <c r="D37" s="265">
        <v>2154.25</v>
      </c>
      <c r="E37" s="262">
        <v>284.85000000000002</v>
      </c>
      <c r="F37" s="262">
        <v>1756.12</v>
      </c>
      <c r="G37" s="262">
        <v>1718.16</v>
      </c>
      <c r="H37" s="262">
        <v>2292.92</v>
      </c>
      <c r="I37" s="262">
        <v>2390.8000000000002</v>
      </c>
      <c r="J37" s="262">
        <v>4794.8</v>
      </c>
      <c r="K37" s="262">
        <v>655.32000000000005</v>
      </c>
      <c r="L37" s="262">
        <v>2046.85</v>
      </c>
      <c r="M37" s="263">
        <v>2259.69</v>
      </c>
      <c r="N37" s="60">
        <f t="shared" si="2"/>
        <v>23085.789999999997</v>
      </c>
      <c r="O37" s="19">
        <f>SUM('MTRT 2009'!B43:M43)</f>
        <v>23203.43</v>
      </c>
      <c r="P37" s="22">
        <f t="shared" si="1"/>
        <v>-5.0699400907540104E-3</v>
      </c>
      <c r="Q37" s="267" t="s">
        <v>244</v>
      </c>
    </row>
    <row r="38" spans="1:17">
      <c r="A38" s="267" t="s">
        <v>245</v>
      </c>
      <c r="B38" s="264">
        <v>6336.58</v>
      </c>
      <c r="C38" s="264">
        <v>5774.23</v>
      </c>
      <c r="D38" s="265">
        <v>13327.08</v>
      </c>
      <c r="E38" s="262">
        <v>8490.7000000000007</v>
      </c>
      <c r="F38" s="262">
        <v>7774.52</v>
      </c>
      <c r="G38" s="262">
        <v>5543.73</v>
      </c>
      <c r="H38" s="262">
        <v>8212.3700000000008</v>
      </c>
      <c r="I38" s="262">
        <v>10144.56</v>
      </c>
      <c r="J38" s="262">
        <v>8801.94</v>
      </c>
      <c r="K38" s="262">
        <v>11311.21</v>
      </c>
      <c r="L38" s="262">
        <v>10573.13</v>
      </c>
      <c r="M38" s="263">
        <v>8331.51</v>
      </c>
      <c r="N38" s="60">
        <f t="shared" si="2"/>
        <v>104621.56000000001</v>
      </c>
      <c r="O38" s="19">
        <f>SUM('MTRT 2009'!B44:M44)</f>
        <v>104220.26000000001</v>
      </c>
      <c r="P38" s="22">
        <f t="shared" si="1"/>
        <v>3.8504989337007078E-3</v>
      </c>
      <c r="Q38" s="267" t="s">
        <v>245</v>
      </c>
    </row>
    <row r="39" spans="1:17">
      <c r="A39" s="267" t="s">
        <v>246</v>
      </c>
      <c r="B39" s="264">
        <v>506.62</v>
      </c>
      <c r="C39" s="264">
        <v>456.13</v>
      </c>
      <c r="D39" s="265">
        <v>451.01</v>
      </c>
      <c r="E39" s="262">
        <v>419.41</v>
      </c>
      <c r="F39" s="262">
        <v>505.99</v>
      </c>
      <c r="G39" s="262">
        <v>556.96</v>
      </c>
      <c r="H39" s="262">
        <v>730.24</v>
      </c>
      <c r="I39" s="262">
        <v>862.16</v>
      </c>
      <c r="J39" s="262">
        <v>1017.95</v>
      </c>
      <c r="K39" s="262">
        <v>1044.55</v>
      </c>
      <c r="L39" s="262">
        <v>840.01</v>
      </c>
      <c r="M39" s="263">
        <v>777.29</v>
      </c>
      <c r="N39" s="60">
        <f t="shared" si="2"/>
        <v>8168.32</v>
      </c>
      <c r="O39" s="19">
        <f>SUM('MTRT 2009'!B45:M45)</f>
        <v>8059.7000000000007</v>
      </c>
      <c r="P39" s="22">
        <f t="shared" si="1"/>
        <v>1.3476928421653378E-2</v>
      </c>
      <c r="Q39" s="267" t="s">
        <v>246</v>
      </c>
    </row>
    <row r="40" spans="1:17">
      <c r="A40" s="267" t="s">
        <v>258</v>
      </c>
      <c r="B40" s="264">
        <v>0</v>
      </c>
      <c r="C40" s="263">
        <v>0</v>
      </c>
      <c r="D40" s="263">
        <v>0</v>
      </c>
      <c r="E40" s="263">
        <v>0</v>
      </c>
      <c r="F40" s="263">
        <v>0</v>
      </c>
      <c r="G40" s="262">
        <v>4544.6099999999997</v>
      </c>
      <c r="H40" s="262">
        <v>4638.58</v>
      </c>
      <c r="I40" s="262">
        <v>6196.59</v>
      </c>
      <c r="J40" s="262">
        <v>5401.56</v>
      </c>
      <c r="K40" s="262">
        <v>6506.62</v>
      </c>
      <c r="L40" s="262">
        <v>5529.16</v>
      </c>
      <c r="M40" s="263">
        <v>3766.25</v>
      </c>
      <c r="N40" s="60">
        <f t="shared" si="2"/>
        <v>36583.369999999995</v>
      </c>
      <c r="O40" s="19"/>
      <c r="P40" s="22"/>
      <c r="Q40" s="267"/>
    </row>
    <row r="41" spans="1:17">
      <c r="A41" s="283" t="s">
        <v>233</v>
      </c>
      <c r="B41" s="264">
        <v>4786</v>
      </c>
      <c r="C41" s="264">
        <v>4995</v>
      </c>
      <c r="D41" s="265">
        <v>6975</v>
      </c>
      <c r="E41" s="262">
        <v>9459</v>
      </c>
      <c r="F41" s="262">
        <v>9702</v>
      </c>
      <c r="G41" s="262">
        <v>7103</v>
      </c>
      <c r="H41" s="262">
        <v>5345</v>
      </c>
      <c r="I41" s="262">
        <v>5984</v>
      </c>
      <c r="J41" s="262">
        <v>7231</v>
      </c>
      <c r="K41" s="262">
        <v>10080</v>
      </c>
      <c r="L41" s="262">
        <v>5934</v>
      </c>
      <c r="M41" s="263">
        <v>3926</v>
      </c>
      <c r="N41" s="60">
        <f t="shared" si="2"/>
        <v>81520</v>
      </c>
      <c r="O41" s="19">
        <f>SUM('MTRT 2009'!B36:M36)</f>
        <v>76018</v>
      </c>
      <c r="P41" s="22">
        <f t="shared" si="1"/>
        <v>7.2377594780183685E-2</v>
      </c>
      <c r="Q41" s="283" t="s">
        <v>233</v>
      </c>
    </row>
    <row r="42" spans="1:17">
      <c r="A42" s="283" t="s">
        <v>213</v>
      </c>
      <c r="B42" s="264">
        <v>898</v>
      </c>
      <c r="C42" s="264">
        <v>898</v>
      </c>
      <c r="D42" s="265">
        <v>899</v>
      </c>
      <c r="E42" s="262">
        <v>1666</v>
      </c>
      <c r="F42" s="262">
        <v>1666</v>
      </c>
      <c r="G42" s="262">
        <v>1667</v>
      </c>
      <c r="H42" s="262">
        <v>2037</v>
      </c>
      <c r="I42" s="262">
        <v>2037</v>
      </c>
      <c r="J42" s="262">
        <v>2038</v>
      </c>
      <c r="K42" s="262">
        <v>969</v>
      </c>
      <c r="L42" s="262">
        <v>969</v>
      </c>
      <c r="M42" s="263">
        <v>971</v>
      </c>
      <c r="N42" s="60">
        <f t="shared" si="2"/>
        <v>16715</v>
      </c>
      <c r="O42" s="19">
        <f>SUM('MTRT 2009'!B25:M25)</f>
        <v>16784</v>
      </c>
      <c r="P42" s="22">
        <f t="shared" si="1"/>
        <v>-4.1110581506196286E-3</v>
      </c>
      <c r="Q42" s="283" t="s">
        <v>213</v>
      </c>
    </row>
    <row r="43" spans="1:17">
      <c r="A43" s="283" t="s">
        <v>160</v>
      </c>
      <c r="B43" s="264">
        <v>4603</v>
      </c>
      <c r="C43" s="264">
        <v>4603</v>
      </c>
      <c r="D43" s="265">
        <v>4604</v>
      </c>
      <c r="E43" s="262">
        <v>6870</v>
      </c>
      <c r="F43" s="262">
        <v>6870</v>
      </c>
      <c r="G43" s="262">
        <v>6871</v>
      </c>
      <c r="H43" s="262">
        <v>9257</v>
      </c>
      <c r="I43" s="262">
        <v>9257</v>
      </c>
      <c r="J43" s="262">
        <v>9257</v>
      </c>
      <c r="K43" s="262">
        <v>5469</v>
      </c>
      <c r="L43" s="262">
        <v>5469</v>
      </c>
      <c r="M43" s="263">
        <v>5471</v>
      </c>
      <c r="N43" s="60">
        <f t="shared" si="2"/>
        <v>78601</v>
      </c>
      <c r="O43" s="19">
        <f>SUM('MTRT 2009'!B8:M8)</f>
        <v>71072</v>
      </c>
      <c r="P43" s="22">
        <f t="shared" si="1"/>
        <v>0.10593482665466003</v>
      </c>
      <c r="Q43" s="283" t="s">
        <v>160</v>
      </c>
    </row>
    <row r="44" spans="1:17">
      <c r="A44" s="283" t="s">
        <v>171</v>
      </c>
      <c r="B44" s="264">
        <v>2176</v>
      </c>
      <c r="C44" s="264">
        <v>2176</v>
      </c>
      <c r="D44" s="265">
        <v>2176</v>
      </c>
      <c r="E44" s="262">
        <v>2651</v>
      </c>
      <c r="F44" s="262">
        <v>2651</v>
      </c>
      <c r="G44" s="262">
        <v>2651</v>
      </c>
      <c r="H44" s="262">
        <v>3193</v>
      </c>
      <c r="I44" s="262">
        <v>3193</v>
      </c>
      <c r="J44" s="262">
        <v>3193</v>
      </c>
      <c r="K44" s="262">
        <v>2538</v>
      </c>
      <c r="L44" s="262">
        <v>2538</v>
      </c>
      <c r="M44" s="263">
        <v>2538</v>
      </c>
      <c r="N44" s="60">
        <f>SUM(B44:M44)</f>
        <v>31674</v>
      </c>
      <c r="O44" s="19">
        <f>SUM('MTRT 2009'!B46:M46)</f>
        <v>30866</v>
      </c>
      <c r="P44" s="22">
        <f>N44/O44-1</f>
        <v>2.6177671224000498E-2</v>
      </c>
      <c r="Q44" s="282" t="s">
        <v>171</v>
      </c>
    </row>
    <row r="45" spans="1:17" ht="13" thickBot="1">
      <c r="A45" s="284" t="s">
        <v>169</v>
      </c>
      <c r="B45" s="264">
        <v>747</v>
      </c>
      <c r="C45" s="264">
        <v>803</v>
      </c>
      <c r="D45" s="265">
        <v>1301</v>
      </c>
      <c r="E45" s="262">
        <v>945</v>
      </c>
      <c r="F45" s="262">
        <v>1774</v>
      </c>
      <c r="G45" s="262">
        <v>1951</v>
      </c>
      <c r="H45" s="262">
        <v>1991</v>
      </c>
      <c r="I45" s="262">
        <v>2107</v>
      </c>
      <c r="J45" s="262">
        <v>1382</v>
      </c>
      <c r="K45" s="262">
        <v>1701</v>
      </c>
      <c r="L45" s="262">
        <v>1611</v>
      </c>
      <c r="M45" s="263">
        <v>872</v>
      </c>
      <c r="N45" s="60">
        <f>SUM(B45:M45)</f>
        <v>17185</v>
      </c>
      <c r="O45" s="19">
        <f>SUM('MTRT 2009'!B47:M47)</f>
        <v>14742</v>
      </c>
      <c r="P45" s="22">
        <f>N45/O45-1</f>
        <v>0.16571699905033244</v>
      </c>
      <c r="Q45" s="285" t="s">
        <v>169</v>
      </c>
    </row>
    <row r="46" spans="1:17" ht="13" thickBot="1">
      <c r="A46" s="272" t="s">
        <v>54</v>
      </c>
      <c r="B46" s="273">
        <f t="shared" ref="B46:N46" si="3">SUM(B5:B39)</f>
        <v>123437.13999999997</v>
      </c>
      <c r="C46" s="273">
        <f t="shared" si="3"/>
        <v>122781.58000000003</v>
      </c>
      <c r="D46" s="273">
        <f t="shared" si="3"/>
        <v>97464.919999999984</v>
      </c>
      <c r="E46" s="273">
        <f t="shared" si="3"/>
        <v>146880.64000000001</v>
      </c>
      <c r="F46" s="273">
        <f t="shared" si="3"/>
        <v>180374.91999999995</v>
      </c>
      <c r="G46" s="273">
        <f t="shared" si="3"/>
        <v>204237.21</v>
      </c>
      <c r="H46" s="273">
        <f t="shared" si="3"/>
        <v>268095.25</v>
      </c>
      <c r="I46" s="273">
        <f t="shared" si="3"/>
        <v>291049.24</v>
      </c>
      <c r="J46" s="273">
        <f>SUM(K5:K39)</f>
        <v>250748.23999999996</v>
      </c>
      <c r="K46" s="273">
        <f t="shared" si="3"/>
        <v>250748.23999999996</v>
      </c>
      <c r="L46" s="273">
        <f t="shared" si="3"/>
        <v>228348.21000000002</v>
      </c>
      <c r="M46" s="273">
        <f t="shared" si="3"/>
        <v>241024.10000000003</v>
      </c>
      <c r="N46" s="286">
        <f t="shared" si="3"/>
        <v>2369334.2800000003</v>
      </c>
      <c r="O46" s="273">
        <f>SUM(O4:O45)</f>
        <v>2328759.6700000004</v>
      </c>
      <c r="P46" s="279">
        <f>N46/O46-1</f>
        <v>1.7423270646043099E-2</v>
      </c>
      <c r="Q46" s="275"/>
    </row>
    <row r="47" spans="1:17">
      <c r="A47" s="276"/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1"/>
      <c r="P47" s="1"/>
      <c r="Q47" s="278"/>
    </row>
    <row r="48" spans="1:17">
      <c r="A48" s="287" t="s">
        <v>259</v>
      </c>
      <c r="C48" s="48"/>
      <c r="F48" s="48"/>
      <c r="I48" s="100"/>
    </row>
    <row r="49" spans="1:9">
      <c r="A49" s="280"/>
    </row>
    <row r="50" spans="1:9">
      <c r="D50" s="100"/>
      <c r="I50" s="243"/>
    </row>
    <row r="51" spans="1:9">
      <c r="A51" s="281"/>
      <c r="B51" s="247"/>
      <c r="I51" s="243"/>
    </row>
    <row r="52" spans="1:9">
      <c r="A52" s="246"/>
      <c r="B52" s="247"/>
      <c r="I52" s="243"/>
    </row>
    <row r="53" spans="1:9">
      <c r="I53" s="243"/>
    </row>
    <row r="54" spans="1:9">
      <c r="I54" s="243"/>
    </row>
    <row r="55" spans="1:9">
      <c r="I55" s="243"/>
    </row>
  </sheetData>
  <mergeCells count="1">
    <mergeCell ref="A1:P1"/>
  </mergeCells>
  <printOptions horizontalCentered="1" verticalCentered="1"/>
  <pageMargins left="0" right="0" top="0" bottom="0" header="0" footer="0"/>
  <pageSetup scale="8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 enableFormatConditionsCalculation="0">
    <tabColor rgb="FF00B050"/>
    <pageSetUpPr fitToPage="1"/>
  </sheetPr>
  <dimension ref="A1:Q52"/>
  <sheetViews>
    <sheetView workbookViewId="0">
      <pane xSplit="1" ySplit="1" topLeftCell="B7" activePane="bottomRight" state="frozen"/>
      <selection activeCell="J52" sqref="J52"/>
      <selection pane="topRight" activeCell="J52" sqref="J52"/>
      <selection pane="bottomLeft" activeCell="J52" sqref="J52"/>
      <selection pane="bottomRight" activeCell="J52" sqref="J52"/>
    </sheetView>
  </sheetViews>
  <sheetFormatPr baseColWidth="10" defaultColWidth="8.83203125" defaultRowHeight="12" x14ac:dyDescent="0"/>
  <cols>
    <col min="1" max="1" width="12.6640625" customWidth="1"/>
    <col min="13" max="13" width="8.83203125" style="48"/>
    <col min="17" max="17" width="12.83203125" customWidth="1"/>
  </cols>
  <sheetData>
    <row r="1" spans="1:17" ht="23">
      <c r="A1" s="711" t="s">
        <v>260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</row>
    <row r="2" spans="1:17" ht="13" thickBot="1">
      <c r="Q2" s="238"/>
    </row>
    <row r="3" spans="1:17" ht="13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252" t="s">
        <v>13</v>
      </c>
      <c r="N3" s="52" t="s">
        <v>100</v>
      </c>
      <c r="O3" s="251" t="s">
        <v>92</v>
      </c>
      <c r="P3" s="253" t="s">
        <v>16</v>
      </c>
      <c r="Q3" s="254"/>
    </row>
    <row r="4" spans="1:17">
      <c r="A4" s="261" t="s">
        <v>154</v>
      </c>
      <c r="B4" s="271">
        <v>323.06</v>
      </c>
      <c r="C4" s="288">
        <v>339.83</v>
      </c>
      <c r="D4" s="265">
        <v>500.16</v>
      </c>
      <c r="E4" s="289"/>
      <c r="F4" s="288">
        <v>484.4</v>
      </c>
      <c r="G4" s="262">
        <v>1313.92</v>
      </c>
      <c r="H4" s="290"/>
      <c r="I4" s="288">
        <v>642.91</v>
      </c>
      <c r="J4" s="290">
        <v>648.04</v>
      </c>
      <c r="K4" s="290">
        <v>675.55</v>
      </c>
      <c r="L4" s="291">
        <v>1010.61</v>
      </c>
      <c r="M4" s="292">
        <v>237.65</v>
      </c>
      <c r="N4" s="106">
        <f t="shared" ref="N4:N47" si="0">SUM(B4:M4)</f>
        <v>6176.1299999999992</v>
      </c>
      <c r="O4" s="19">
        <f>SUM('MTRT 2008'!B4:M4)</f>
        <v>3802.88</v>
      </c>
      <c r="P4" s="22">
        <f>N4/O4-1</f>
        <v>0.62406649697071659</v>
      </c>
      <c r="Q4" s="261" t="s">
        <v>154</v>
      </c>
    </row>
    <row r="5" spans="1:17">
      <c r="A5" s="261" t="s">
        <v>261</v>
      </c>
      <c r="B5" s="271"/>
      <c r="C5" s="288"/>
      <c r="D5" s="265"/>
      <c r="E5" s="289"/>
      <c r="F5" s="288"/>
      <c r="G5" s="290"/>
      <c r="H5" s="290"/>
      <c r="I5" s="288"/>
      <c r="J5" s="289"/>
      <c r="K5" s="289"/>
      <c r="L5" s="291"/>
      <c r="M5" s="292"/>
      <c r="N5" s="60">
        <f t="shared" si="0"/>
        <v>0</v>
      </c>
      <c r="O5" s="19">
        <f>SUM('MTRT 2008'!B5:M5)</f>
        <v>0</v>
      </c>
      <c r="P5" s="22"/>
      <c r="Q5" s="261" t="s">
        <v>261</v>
      </c>
    </row>
    <row r="6" spans="1:17">
      <c r="A6" s="267" t="s">
        <v>156</v>
      </c>
      <c r="B6" s="19">
        <v>680.38</v>
      </c>
      <c r="C6" s="19">
        <v>1720.7</v>
      </c>
      <c r="D6" s="293">
        <v>702.92</v>
      </c>
      <c r="E6" s="111">
        <v>749.9</v>
      </c>
      <c r="F6" s="111">
        <v>1046.17</v>
      </c>
      <c r="G6" s="111">
        <v>1287.79</v>
      </c>
      <c r="H6" s="111">
        <v>874.92</v>
      </c>
      <c r="I6" s="111">
        <v>2188.38</v>
      </c>
      <c r="J6" s="111">
        <v>1177.8800000000001</v>
      </c>
      <c r="K6" s="111">
        <v>994.34</v>
      </c>
      <c r="L6" s="111">
        <v>2906.21</v>
      </c>
      <c r="M6" s="294">
        <v>637.79</v>
      </c>
      <c r="N6" s="60">
        <f t="shared" si="0"/>
        <v>14967.380000000001</v>
      </c>
      <c r="O6" s="19">
        <f>SUM('MTRT 2008'!B6:M6)</f>
        <v>15020.410000000002</v>
      </c>
      <c r="P6" s="22">
        <f t="shared" ref="P6:P15" si="1">N6/O6-1</f>
        <v>-3.530529459581988E-3</v>
      </c>
      <c r="Q6" s="267" t="s">
        <v>156</v>
      </c>
    </row>
    <row r="7" spans="1:17">
      <c r="A7" s="267" t="s">
        <v>157</v>
      </c>
      <c r="B7" s="19"/>
      <c r="C7" s="19"/>
      <c r="D7" s="293"/>
      <c r="E7" s="111"/>
      <c r="F7" s="111"/>
      <c r="G7" s="111"/>
      <c r="H7" s="111"/>
      <c r="I7" s="111">
        <v>864.77</v>
      </c>
      <c r="J7" s="111">
        <v>829.32</v>
      </c>
      <c r="K7" s="111">
        <v>782.14</v>
      </c>
      <c r="L7" s="111">
        <v>674.63</v>
      </c>
      <c r="M7" s="294">
        <v>574.6</v>
      </c>
      <c r="N7" s="60">
        <f t="shared" si="0"/>
        <v>3725.46</v>
      </c>
      <c r="O7" s="19">
        <f>SUM('MTRT 2008'!B7:M7)</f>
        <v>0</v>
      </c>
      <c r="P7" s="22" t="e">
        <f t="shared" si="1"/>
        <v>#DIV/0!</v>
      </c>
      <c r="Q7" s="267"/>
    </row>
    <row r="8" spans="1:17">
      <c r="A8" s="267" t="s">
        <v>160</v>
      </c>
      <c r="B8" s="111">
        <v>4739</v>
      </c>
      <c r="C8" s="111">
        <v>4739</v>
      </c>
      <c r="D8" s="293">
        <v>4739</v>
      </c>
      <c r="E8" s="111">
        <v>7253</v>
      </c>
      <c r="F8" s="111">
        <v>7253</v>
      </c>
      <c r="G8" s="111">
        <v>7252</v>
      </c>
      <c r="H8" s="111">
        <v>7221</v>
      </c>
      <c r="I8" s="111">
        <v>7221</v>
      </c>
      <c r="J8" s="111">
        <v>7221</v>
      </c>
      <c r="K8" s="111">
        <v>4478</v>
      </c>
      <c r="L8" s="111">
        <v>4478</v>
      </c>
      <c r="M8" s="294">
        <v>4478</v>
      </c>
      <c r="N8" s="60">
        <f t="shared" si="0"/>
        <v>71072</v>
      </c>
      <c r="O8" s="19">
        <f>SUM('MTRT 2008'!B8:M8)</f>
        <v>76056</v>
      </c>
      <c r="P8" s="22">
        <f t="shared" si="1"/>
        <v>-6.5530661617755337E-2</v>
      </c>
      <c r="Q8" s="267" t="s">
        <v>160</v>
      </c>
    </row>
    <row r="9" spans="1:17">
      <c r="A9" s="267" t="s">
        <v>161</v>
      </c>
      <c r="B9" s="19"/>
      <c r="C9" s="19">
        <v>1089.3599999999999</v>
      </c>
      <c r="D9" s="293"/>
      <c r="E9" s="111"/>
      <c r="F9" s="111">
        <v>2460.92</v>
      </c>
      <c r="G9" s="111">
        <v>1583.29</v>
      </c>
      <c r="H9" s="111">
        <v>2041.19</v>
      </c>
      <c r="I9" s="111">
        <v>2296.9899999999998</v>
      </c>
      <c r="J9" s="111">
        <v>2579.81</v>
      </c>
      <c r="K9" s="111">
        <v>2713.21</v>
      </c>
      <c r="L9" s="111">
        <v>2316.1999999999998</v>
      </c>
      <c r="M9" s="294"/>
      <c r="N9" s="60">
        <f t="shared" si="0"/>
        <v>17080.97</v>
      </c>
      <c r="O9" s="19">
        <f>SUM('MTRT 2008'!B9:M9)</f>
        <v>21837.360000000001</v>
      </c>
      <c r="P9" s="22">
        <f t="shared" si="1"/>
        <v>-0.21780975355995413</v>
      </c>
      <c r="Q9" s="267" t="s">
        <v>161</v>
      </c>
    </row>
    <row r="10" spans="1:17">
      <c r="A10" s="267" t="s">
        <v>163</v>
      </c>
      <c r="B10" s="19">
        <v>1046.45</v>
      </c>
      <c r="C10" s="19">
        <v>4000.63</v>
      </c>
      <c r="D10" s="293">
        <v>5365.27</v>
      </c>
      <c r="E10" s="111">
        <v>3312.92</v>
      </c>
      <c r="F10" s="111">
        <v>5733.79</v>
      </c>
      <c r="G10" s="111">
        <v>4047.09</v>
      </c>
      <c r="H10" s="111">
        <v>4248.6499999999996</v>
      </c>
      <c r="I10" s="111">
        <v>6450.39</v>
      </c>
      <c r="J10" s="111">
        <v>6087.41</v>
      </c>
      <c r="K10" s="111">
        <v>3046.56</v>
      </c>
      <c r="L10" s="111">
        <v>6179.38</v>
      </c>
      <c r="M10" s="294">
        <v>4412.76</v>
      </c>
      <c r="N10" s="60">
        <f t="shared" si="0"/>
        <v>53931.3</v>
      </c>
      <c r="O10" s="19">
        <f>SUM('MTRT 2008'!B10:M10)</f>
        <v>69292.78</v>
      </c>
      <c r="P10" s="22">
        <f t="shared" si="1"/>
        <v>-0.22168947471872247</v>
      </c>
      <c r="Q10" s="267" t="s">
        <v>163</v>
      </c>
    </row>
    <row r="11" spans="1:17">
      <c r="A11" s="267" t="s">
        <v>168</v>
      </c>
      <c r="B11" s="111">
        <v>13847.28</v>
      </c>
      <c r="C11" s="111">
        <v>9322.86</v>
      </c>
      <c r="D11" s="293">
        <v>6625.46</v>
      </c>
      <c r="E11" s="111">
        <v>8972.5400000000009</v>
      </c>
      <c r="F11" s="111">
        <v>7885.69</v>
      </c>
      <c r="G11" s="111">
        <v>15222.54</v>
      </c>
      <c r="H11" s="111">
        <v>13851.1</v>
      </c>
      <c r="I11" s="111">
        <v>15273.47</v>
      </c>
      <c r="J11" s="111">
        <v>15793.1</v>
      </c>
      <c r="K11" s="111">
        <v>14379.97</v>
      </c>
      <c r="L11" s="111">
        <v>14882.69</v>
      </c>
      <c r="M11" s="294">
        <v>16542.75</v>
      </c>
      <c r="N11" s="60">
        <f t="shared" si="0"/>
        <v>152599.45000000001</v>
      </c>
      <c r="O11" s="19">
        <f>SUM('MTRT 2008'!B11:M11)</f>
        <v>179570.79999999996</v>
      </c>
      <c r="P11" s="22">
        <f t="shared" si="1"/>
        <v>-0.15019897444350616</v>
      </c>
      <c r="Q11" s="267" t="s">
        <v>168</v>
      </c>
    </row>
    <row r="12" spans="1:17">
      <c r="A12" s="267" t="s">
        <v>172</v>
      </c>
      <c r="B12" s="111">
        <v>1410</v>
      </c>
      <c r="C12" s="111">
        <v>1315</v>
      </c>
      <c r="D12" s="293">
        <v>1502</v>
      </c>
      <c r="E12" s="111">
        <v>1319</v>
      </c>
      <c r="F12" s="111">
        <v>1166</v>
      </c>
      <c r="G12" s="111">
        <v>2140</v>
      </c>
      <c r="H12" s="111">
        <v>2409</v>
      </c>
      <c r="I12" s="111">
        <v>2407.3000000000002</v>
      </c>
      <c r="J12" s="111">
        <v>1529</v>
      </c>
      <c r="K12" s="111">
        <v>1513</v>
      </c>
      <c r="L12" s="111">
        <v>1363</v>
      </c>
      <c r="M12" s="294">
        <v>1020</v>
      </c>
      <c r="N12" s="60">
        <f t="shared" si="0"/>
        <v>19093.3</v>
      </c>
      <c r="O12" s="19">
        <f>SUM('MTRT 2008'!B12:M12)</f>
        <v>19062.599999999999</v>
      </c>
      <c r="P12" s="22">
        <f t="shared" si="1"/>
        <v>1.6104833548413744E-3</v>
      </c>
      <c r="Q12" s="267" t="s">
        <v>172</v>
      </c>
    </row>
    <row r="13" spans="1:17">
      <c r="A13" s="267" t="s">
        <v>174</v>
      </c>
      <c r="B13" s="19"/>
      <c r="C13" s="19">
        <v>1450.24</v>
      </c>
      <c r="D13" s="293">
        <v>1093.99</v>
      </c>
      <c r="E13" s="111"/>
      <c r="F13" s="111">
        <v>657.35</v>
      </c>
      <c r="G13" s="111">
        <v>1774.85</v>
      </c>
      <c r="H13" s="111">
        <v>471.2</v>
      </c>
      <c r="I13" s="111">
        <v>976.7</v>
      </c>
      <c r="J13" s="111">
        <v>1009.87</v>
      </c>
      <c r="K13" s="111">
        <v>1426.23</v>
      </c>
      <c r="L13" s="111">
        <v>815.2</v>
      </c>
      <c r="M13" s="294">
        <v>1031.71</v>
      </c>
      <c r="N13" s="60">
        <f t="shared" si="0"/>
        <v>10707.34</v>
      </c>
      <c r="O13" s="19">
        <f>SUM('MTRT 2008'!B13:M13)</f>
        <v>18014.399999999998</v>
      </c>
      <c r="P13" s="22">
        <f t="shared" si="1"/>
        <v>-0.40562327915445417</v>
      </c>
      <c r="Q13" s="267" t="s">
        <v>174</v>
      </c>
    </row>
    <row r="14" spans="1:17">
      <c r="A14" s="267" t="s">
        <v>176</v>
      </c>
      <c r="B14" s="19">
        <v>2659.8</v>
      </c>
      <c r="C14" s="19">
        <v>3815.95</v>
      </c>
      <c r="D14" s="293">
        <v>1371.72</v>
      </c>
      <c r="E14" s="111">
        <v>1711.15</v>
      </c>
      <c r="F14" s="111">
        <v>4107.4399999999996</v>
      </c>
      <c r="G14" s="111">
        <v>4836.49</v>
      </c>
      <c r="H14" s="111">
        <v>5547.95</v>
      </c>
      <c r="I14" s="111">
        <v>11615.4</v>
      </c>
      <c r="J14" s="111">
        <v>7022.13</v>
      </c>
      <c r="K14" s="111">
        <v>6602.03</v>
      </c>
      <c r="L14" s="111">
        <v>8569.14</v>
      </c>
      <c r="M14" s="294">
        <v>6540.2</v>
      </c>
      <c r="N14" s="60">
        <f t="shared" si="0"/>
        <v>64399.399999999994</v>
      </c>
      <c r="O14" s="19">
        <f>SUM('MTRT 2008'!B14:M14)</f>
        <v>65496.729999999996</v>
      </c>
      <c r="P14" s="22">
        <f t="shared" si="1"/>
        <v>-1.6753966190373171E-2</v>
      </c>
      <c r="Q14" s="267" t="s">
        <v>176</v>
      </c>
    </row>
    <row r="15" spans="1:17">
      <c r="A15" s="267" t="s">
        <v>180</v>
      </c>
      <c r="B15" s="19">
        <v>17042.59</v>
      </c>
      <c r="C15" s="19">
        <v>12312.1</v>
      </c>
      <c r="D15" s="293">
        <v>9687.66</v>
      </c>
      <c r="E15" s="111">
        <v>12574.81</v>
      </c>
      <c r="F15" s="111">
        <v>41132.29</v>
      </c>
      <c r="G15" s="111">
        <v>59629.120000000003</v>
      </c>
      <c r="H15" s="111">
        <v>71350.210000000006</v>
      </c>
      <c r="I15" s="111">
        <v>65845.929999999993</v>
      </c>
      <c r="J15" s="111">
        <v>136883.23000000001</v>
      </c>
      <c r="K15" s="111"/>
      <c r="L15" s="111">
        <v>73224.28</v>
      </c>
      <c r="M15" s="294">
        <v>53695.5</v>
      </c>
      <c r="N15" s="60">
        <f t="shared" si="0"/>
        <v>553377.72000000009</v>
      </c>
      <c r="O15" s="19">
        <f>SUM('MTRT 2008'!B15:M15)</f>
        <v>506748.39</v>
      </c>
      <c r="P15" s="22">
        <f t="shared" si="1"/>
        <v>9.2016730433026384E-2</v>
      </c>
      <c r="Q15" s="267" t="s">
        <v>180</v>
      </c>
    </row>
    <row r="16" spans="1:17">
      <c r="A16" s="267" t="s">
        <v>262</v>
      </c>
      <c r="B16" s="19"/>
      <c r="C16" s="19"/>
      <c r="D16" s="293"/>
      <c r="E16" s="111"/>
      <c r="F16" s="111"/>
      <c r="G16" s="111"/>
      <c r="H16" s="111"/>
      <c r="I16" s="111"/>
      <c r="J16" s="111"/>
      <c r="K16" s="111"/>
      <c r="L16" s="111"/>
      <c r="M16" s="294"/>
      <c r="N16" s="60">
        <f t="shared" si="0"/>
        <v>0</v>
      </c>
      <c r="O16" s="19"/>
      <c r="P16" s="22"/>
      <c r="Q16" s="267" t="s">
        <v>262</v>
      </c>
    </row>
    <row r="17" spans="1:17">
      <c r="A17" s="267" t="s">
        <v>190</v>
      </c>
      <c r="B17" s="19">
        <v>1240.58</v>
      </c>
      <c r="C17" s="19">
        <v>537.29999999999995</v>
      </c>
      <c r="D17" s="293">
        <v>481.2</v>
      </c>
      <c r="E17" s="111">
        <v>1444.4</v>
      </c>
      <c r="F17" s="111">
        <v>377.29</v>
      </c>
      <c r="G17" s="111">
        <v>1305.3900000000001</v>
      </c>
      <c r="H17" s="111">
        <v>1052.32</v>
      </c>
      <c r="I17" s="111">
        <v>1419.29</v>
      </c>
      <c r="J17" s="111">
        <v>1283.48</v>
      </c>
      <c r="K17" s="111">
        <v>1122.6400000000001</v>
      </c>
      <c r="L17" s="111">
        <v>1136.8900000000001</v>
      </c>
      <c r="M17" s="294">
        <v>1181.3599999999999</v>
      </c>
      <c r="N17" s="60">
        <f t="shared" si="0"/>
        <v>12582.14</v>
      </c>
      <c r="O17" s="19">
        <f>SUM('MTRT 2008'!B17:M17)</f>
        <v>18254.93</v>
      </c>
      <c r="P17" s="22"/>
      <c r="Q17" s="267" t="s">
        <v>190</v>
      </c>
    </row>
    <row r="18" spans="1:17">
      <c r="A18" s="267" t="s">
        <v>196</v>
      </c>
      <c r="B18" s="19">
        <v>1458.05</v>
      </c>
      <c r="C18" s="19">
        <v>2878.66</v>
      </c>
      <c r="D18" s="293">
        <v>2071.9499999999998</v>
      </c>
      <c r="E18" s="111">
        <v>7161.68</v>
      </c>
      <c r="F18" s="111">
        <v>3357.99</v>
      </c>
      <c r="G18" s="111">
        <v>3155.86</v>
      </c>
      <c r="H18" s="111">
        <v>2204.37</v>
      </c>
      <c r="I18" s="111">
        <v>1652.34</v>
      </c>
      <c r="J18" s="111">
        <v>810.19</v>
      </c>
      <c r="K18" s="111">
        <v>902.76</v>
      </c>
      <c r="L18" s="111">
        <v>1455.95</v>
      </c>
      <c r="M18" s="294">
        <v>978.68</v>
      </c>
      <c r="N18" s="60">
        <f t="shared" si="0"/>
        <v>28088.48</v>
      </c>
      <c r="O18" s="19">
        <f>SUM('MTRT 2008'!B18:M18)</f>
        <v>34473.770000000004</v>
      </c>
      <c r="P18" s="22">
        <f>N18/O18-1</f>
        <v>-0.18522169173838554</v>
      </c>
      <c r="Q18" s="267" t="s">
        <v>197</v>
      </c>
    </row>
    <row r="19" spans="1:17">
      <c r="A19" s="267" t="s">
        <v>199</v>
      </c>
      <c r="B19" s="19">
        <v>2892.81</v>
      </c>
      <c r="C19" s="19">
        <v>5384.33</v>
      </c>
      <c r="D19" s="293"/>
      <c r="E19" s="111">
        <v>7612.23</v>
      </c>
      <c r="F19" s="111">
        <v>3740.8</v>
      </c>
      <c r="G19" s="111">
        <v>2536.13</v>
      </c>
      <c r="H19" s="111">
        <v>2377.7800000000002</v>
      </c>
      <c r="I19" s="111">
        <v>2161.0500000000002</v>
      </c>
      <c r="J19" s="111">
        <v>2812.94</v>
      </c>
      <c r="K19" s="111">
        <v>2911.5</v>
      </c>
      <c r="L19" s="111">
        <v>2741.05</v>
      </c>
      <c r="M19" s="294">
        <v>2677.73</v>
      </c>
      <c r="N19" s="60">
        <f t="shared" si="0"/>
        <v>37848.35</v>
      </c>
      <c r="O19" s="19">
        <f>SUM('MTRT 2008'!B19:M19)</f>
        <v>47076.45</v>
      </c>
      <c r="P19" s="22">
        <f>N19/O19-1</f>
        <v>-0.19602370187216744</v>
      </c>
      <c r="Q19" s="267" t="s">
        <v>199</v>
      </c>
    </row>
    <row r="20" spans="1:17">
      <c r="A20" s="267" t="s">
        <v>204</v>
      </c>
      <c r="B20" s="19">
        <v>1073.78</v>
      </c>
      <c r="C20" s="19">
        <v>3490.08</v>
      </c>
      <c r="D20" s="293">
        <v>1712.76</v>
      </c>
      <c r="E20" s="111">
        <v>1377.32</v>
      </c>
      <c r="F20" s="111">
        <v>3695.8</v>
      </c>
      <c r="G20" s="111">
        <v>2345.33</v>
      </c>
      <c r="H20" s="111">
        <v>1099.9100000000001</v>
      </c>
      <c r="I20" s="111">
        <v>3844.88</v>
      </c>
      <c r="J20" s="111">
        <v>2762.77</v>
      </c>
      <c r="K20" s="111">
        <v>2575.64</v>
      </c>
      <c r="L20" s="111">
        <v>2335.1</v>
      </c>
      <c r="M20" s="294">
        <v>1757.51</v>
      </c>
      <c r="N20" s="60">
        <f t="shared" si="0"/>
        <v>28070.879999999997</v>
      </c>
      <c r="O20" s="19">
        <f>SUM('MTRT 2008'!B20:M20)</f>
        <v>37486.99</v>
      </c>
      <c r="P20" s="22">
        <f>N20/O20-1</f>
        <v>-0.25118341056457194</v>
      </c>
      <c r="Q20" s="267" t="s">
        <v>204</v>
      </c>
    </row>
    <row r="21" spans="1:17" s="154" customFormat="1">
      <c r="A21" s="261" t="s">
        <v>205</v>
      </c>
      <c r="B21" s="111">
        <v>1495.49</v>
      </c>
      <c r="C21" s="111">
        <v>1441.63</v>
      </c>
      <c r="D21" s="293">
        <v>1737.35</v>
      </c>
      <c r="E21" s="111">
        <v>1776.04</v>
      </c>
      <c r="F21" s="111">
        <v>2318.02</v>
      </c>
      <c r="G21" s="111">
        <v>2019.04</v>
      </c>
      <c r="H21" s="111">
        <v>2040.45</v>
      </c>
      <c r="I21" s="111">
        <v>2042.54</v>
      </c>
      <c r="J21" s="111">
        <v>1885.64</v>
      </c>
      <c r="K21" s="111">
        <v>2074.37</v>
      </c>
      <c r="L21" s="111">
        <v>1913.1</v>
      </c>
      <c r="M21" s="294">
        <v>1980.56</v>
      </c>
      <c r="N21" s="60">
        <f t="shared" si="0"/>
        <v>22724.23</v>
      </c>
      <c r="O21" s="111">
        <f>SUM('MTRT 2008'!B21:M21)</f>
        <v>2230.0300000000002</v>
      </c>
      <c r="P21" s="153"/>
      <c r="Q21" s="261"/>
    </row>
    <row r="22" spans="1:17">
      <c r="A22" s="267" t="s">
        <v>206</v>
      </c>
      <c r="B22" s="111">
        <v>9187</v>
      </c>
      <c r="C22" s="111">
        <v>11968</v>
      </c>
      <c r="D22" s="111">
        <v>0</v>
      </c>
      <c r="E22" s="111">
        <v>5338</v>
      </c>
      <c r="F22" s="111">
        <v>21571</v>
      </c>
      <c r="G22" s="111">
        <v>0</v>
      </c>
      <c r="H22" s="111">
        <v>2563</v>
      </c>
      <c r="I22" s="111">
        <v>20622</v>
      </c>
      <c r="J22" s="111">
        <v>3220</v>
      </c>
      <c r="K22" s="111">
        <v>29732</v>
      </c>
      <c r="L22" s="111">
        <v>16525</v>
      </c>
      <c r="M22" s="119">
        <v>0</v>
      </c>
      <c r="N22" s="60">
        <f t="shared" si="0"/>
        <v>120726</v>
      </c>
      <c r="O22" s="19">
        <f>SUM('MTRT 2008'!B22:M22)</f>
        <v>99747</v>
      </c>
      <c r="P22" s="22">
        <f>N22/O22-1</f>
        <v>0.21032211495082564</v>
      </c>
      <c r="Q22" s="267" t="s">
        <v>206</v>
      </c>
    </row>
    <row r="23" spans="1:17">
      <c r="A23" s="267" t="s">
        <v>208</v>
      </c>
      <c r="B23" s="19">
        <v>674.08</v>
      </c>
      <c r="C23" s="19">
        <v>1556.03</v>
      </c>
      <c r="D23" s="293">
        <v>510.43</v>
      </c>
      <c r="E23" s="111">
        <v>431.38</v>
      </c>
      <c r="F23" s="111">
        <v>1055.8800000000001</v>
      </c>
      <c r="G23" s="111">
        <v>1665.68</v>
      </c>
      <c r="H23" s="111">
        <v>1875.83</v>
      </c>
      <c r="I23" s="111">
        <v>4086.99</v>
      </c>
      <c r="J23" s="111">
        <v>1632.36</v>
      </c>
      <c r="K23" s="111">
        <v>1459.23</v>
      </c>
      <c r="L23" s="111">
        <v>4662.22</v>
      </c>
      <c r="M23" s="294">
        <v>1158</v>
      </c>
      <c r="N23" s="60">
        <f t="shared" si="0"/>
        <v>20768.11</v>
      </c>
      <c r="O23" s="19">
        <f>SUM('MTRT 2008'!B23:M23)</f>
        <v>21222.31</v>
      </c>
      <c r="P23" s="22">
        <f>N23/O23-1</f>
        <v>-2.1402005719452832E-2</v>
      </c>
      <c r="Q23" s="267" t="s">
        <v>208</v>
      </c>
    </row>
    <row r="24" spans="1:17">
      <c r="A24" s="267" t="s">
        <v>209</v>
      </c>
      <c r="B24" s="19">
        <v>989.85</v>
      </c>
      <c r="C24" s="19">
        <v>726.68</v>
      </c>
      <c r="D24" s="293">
        <v>393.54</v>
      </c>
      <c r="E24" s="111">
        <v>337.23</v>
      </c>
      <c r="F24" s="111">
        <v>944.86</v>
      </c>
      <c r="G24" s="111">
        <v>1703.53</v>
      </c>
      <c r="H24" s="111">
        <v>1891.61</v>
      </c>
      <c r="I24" s="111">
        <v>2397.7199999999998</v>
      </c>
      <c r="J24" s="111">
        <v>1350.59</v>
      </c>
      <c r="K24" s="111">
        <v>1922.19</v>
      </c>
      <c r="L24" s="111">
        <v>3018.19</v>
      </c>
      <c r="M24" s="294">
        <v>2032.34</v>
      </c>
      <c r="N24" s="60">
        <f t="shared" si="0"/>
        <v>17708.330000000002</v>
      </c>
      <c r="O24" s="19">
        <f>SUM('MTRT 2008'!B24:M24)</f>
        <v>20569.39</v>
      </c>
      <c r="P24" s="22">
        <f>N24/O24-1</f>
        <v>-0.13909308929433484</v>
      </c>
      <c r="Q24" s="267" t="s">
        <v>209</v>
      </c>
    </row>
    <row r="25" spans="1:17">
      <c r="A25" s="267" t="s">
        <v>213</v>
      </c>
      <c r="B25" s="108">
        <v>698</v>
      </c>
      <c r="C25" s="108">
        <v>698</v>
      </c>
      <c r="D25" s="108">
        <v>698</v>
      </c>
      <c r="E25" s="108">
        <v>1650</v>
      </c>
      <c r="F25" s="108">
        <v>1650</v>
      </c>
      <c r="G25" s="262">
        <v>1651</v>
      </c>
      <c r="H25" s="108">
        <v>1930</v>
      </c>
      <c r="I25" s="108">
        <v>1930</v>
      </c>
      <c r="J25" s="108">
        <v>1931</v>
      </c>
      <c r="K25" s="108">
        <v>1316</v>
      </c>
      <c r="L25" s="108">
        <v>1316</v>
      </c>
      <c r="M25" s="295">
        <v>1316</v>
      </c>
      <c r="N25" s="60">
        <f t="shared" si="0"/>
        <v>16784</v>
      </c>
      <c r="O25" s="19">
        <f>SUM('MTRT 2008'!B25:M25)</f>
        <v>18177</v>
      </c>
      <c r="P25" s="22">
        <f>N25/O25-1</f>
        <v>-7.6635308356714504E-2</v>
      </c>
      <c r="Q25" s="267" t="s">
        <v>213</v>
      </c>
    </row>
    <row r="26" spans="1:17">
      <c r="A26" s="261" t="s">
        <v>212</v>
      </c>
      <c r="B26" s="111">
        <v>3086</v>
      </c>
      <c r="C26" s="111">
        <v>3086</v>
      </c>
      <c r="D26" s="111">
        <v>3087</v>
      </c>
      <c r="E26" s="111">
        <v>5759</v>
      </c>
      <c r="F26" s="111">
        <v>5759</v>
      </c>
      <c r="G26" s="111">
        <v>5759</v>
      </c>
      <c r="H26" s="111">
        <v>7098</v>
      </c>
      <c r="I26" s="111">
        <v>7098</v>
      </c>
      <c r="J26" s="111">
        <v>7098</v>
      </c>
      <c r="K26" s="111">
        <v>3426</v>
      </c>
      <c r="L26" s="111">
        <v>3426</v>
      </c>
      <c r="M26" s="119">
        <v>3426</v>
      </c>
      <c r="N26" s="60">
        <f t="shared" si="0"/>
        <v>58108</v>
      </c>
      <c r="O26" s="19">
        <f>SUM('MTRT 2008'!B26:M26)</f>
        <v>56727</v>
      </c>
      <c r="P26" s="153">
        <f>N26/O26-1</f>
        <v>2.4344668323725838E-2</v>
      </c>
      <c r="Q26" s="261" t="s">
        <v>212</v>
      </c>
    </row>
    <row r="27" spans="1:17">
      <c r="A27" s="267" t="s">
        <v>223</v>
      </c>
      <c r="B27" s="19"/>
      <c r="C27" s="19">
        <v>66.45</v>
      </c>
      <c r="D27" s="293"/>
      <c r="E27" s="111"/>
      <c r="F27" s="111"/>
      <c r="G27" s="111">
        <v>56.77</v>
      </c>
      <c r="H27" s="111"/>
      <c r="I27" s="111">
        <v>64.260000000000005</v>
      </c>
      <c r="J27" s="111"/>
      <c r="K27" s="111"/>
      <c r="L27" s="111"/>
      <c r="M27" s="294"/>
      <c r="N27" s="60">
        <f t="shared" si="0"/>
        <v>187.48000000000002</v>
      </c>
      <c r="O27" s="19">
        <f>SUM('MTRT 2008'!B27:M27)</f>
        <v>310.14</v>
      </c>
      <c r="P27" s="22"/>
      <c r="Q27" s="267" t="s">
        <v>223</v>
      </c>
    </row>
    <row r="28" spans="1:17">
      <c r="A28" s="267" t="s">
        <v>216</v>
      </c>
      <c r="B28" s="19">
        <v>2291.59</v>
      </c>
      <c r="C28" s="19">
        <v>2045.02</v>
      </c>
      <c r="D28" s="293">
        <v>1538.51</v>
      </c>
      <c r="E28" s="111">
        <v>1851.27</v>
      </c>
      <c r="F28" s="111">
        <v>2894.6</v>
      </c>
      <c r="G28" s="111">
        <v>2405.5100000000002</v>
      </c>
      <c r="H28" s="111">
        <v>5067.1499999999996</v>
      </c>
      <c r="I28" s="111">
        <v>3129.88</v>
      </c>
      <c r="J28" s="111">
        <v>3617.97</v>
      </c>
      <c r="K28" s="111">
        <v>4267.5600000000004</v>
      </c>
      <c r="L28" s="111">
        <v>6081.76</v>
      </c>
      <c r="M28" s="294">
        <v>2385.27</v>
      </c>
      <c r="N28" s="60">
        <f t="shared" si="0"/>
        <v>37576.090000000004</v>
      </c>
      <c r="O28" s="19">
        <f>SUM('MTRT 2008'!B28:M28)</f>
        <v>36213.040000000001</v>
      </c>
      <c r="P28" s="22">
        <f>N28/O28-1</f>
        <v>3.7639756286685699E-2</v>
      </c>
      <c r="Q28" s="267" t="s">
        <v>216</v>
      </c>
    </row>
    <row r="29" spans="1:17">
      <c r="A29" s="267" t="s">
        <v>219</v>
      </c>
      <c r="B29" s="19"/>
      <c r="C29" s="19"/>
      <c r="D29" s="293"/>
      <c r="E29" s="111"/>
      <c r="F29" s="111"/>
      <c r="G29" s="111"/>
      <c r="H29" s="111"/>
      <c r="I29" s="111"/>
      <c r="J29" s="111"/>
      <c r="K29" s="111"/>
      <c r="L29" s="111"/>
      <c r="M29" s="294"/>
      <c r="N29" s="60">
        <f t="shared" si="0"/>
        <v>0</v>
      </c>
      <c r="O29" s="19">
        <f>SUM('MTRT 2008'!B29:M29)</f>
        <v>0</v>
      </c>
      <c r="P29" s="22"/>
      <c r="Q29" s="267" t="s">
        <v>219</v>
      </c>
    </row>
    <row r="30" spans="1:17">
      <c r="A30" s="267" t="s">
        <v>224</v>
      </c>
      <c r="B30" s="19">
        <v>5172.8100000000004</v>
      </c>
      <c r="C30" s="19">
        <v>3908.47</v>
      </c>
      <c r="D30" s="293">
        <v>4409.8500000000004</v>
      </c>
      <c r="E30" s="111">
        <v>4178.66</v>
      </c>
      <c r="F30" s="111">
        <v>3242.23</v>
      </c>
      <c r="G30" s="111">
        <v>7454.75</v>
      </c>
      <c r="H30" s="111">
        <v>4680.1899999999996</v>
      </c>
      <c r="I30" s="111">
        <v>6916.9</v>
      </c>
      <c r="J30" s="111">
        <v>7006.7</v>
      </c>
      <c r="K30" s="111">
        <v>7415.2</v>
      </c>
      <c r="L30" s="111">
        <v>3251.18</v>
      </c>
      <c r="M30" s="294">
        <v>7660.29</v>
      </c>
      <c r="N30" s="60">
        <f t="shared" si="0"/>
        <v>65297.229999999996</v>
      </c>
      <c r="O30" s="19">
        <f>SUM('MTRT 2008'!B30:M30)</f>
        <v>72284.37999999999</v>
      </c>
      <c r="P30" s="22">
        <f>N30/O30-1</f>
        <v>-9.6661962100249021E-2</v>
      </c>
      <c r="Q30" s="267" t="s">
        <v>224</v>
      </c>
    </row>
    <row r="31" spans="1:17">
      <c r="A31" s="267" t="s">
        <v>227</v>
      </c>
      <c r="B31" s="19">
        <v>560.58000000000004</v>
      </c>
      <c r="C31" s="19">
        <v>1409.54</v>
      </c>
      <c r="D31" s="293">
        <v>1973.04</v>
      </c>
      <c r="E31" s="111">
        <v>1242.52</v>
      </c>
      <c r="F31" s="111">
        <v>1605.78</v>
      </c>
      <c r="G31" s="111">
        <v>2426.5</v>
      </c>
      <c r="H31" s="111">
        <v>2050.66</v>
      </c>
      <c r="I31" s="111">
        <v>3740.02</v>
      </c>
      <c r="J31" s="111">
        <v>2204.56</v>
      </c>
      <c r="K31" s="111">
        <v>3566.87</v>
      </c>
      <c r="L31" s="111">
        <v>3130.38</v>
      </c>
      <c r="M31" s="294">
        <v>685.23</v>
      </c>
      <c r="N31" s="60">
        <f t="shared" si="0"/>
        <v>24595.68</v>
      </c>
      <c r="O31" s="19">
        <f>SUM('MTRT 2008'!B31:M31)</f>
        <v>22176.82</v>
      </c>
      <c r="P31" s="22">
        <f>N31/O31-1</f>
        <v>0.10907154407169295</v>
      </c>
      <c r="Q31" s="267" t="s">
        <v>227</v>
      </c>
    </row>
    <row r="32" spans="1:17">
      <c r="A32" s="267" t="s">
        <v>229</v>
      </c>
      <c r="B32" s="19">
        <v>1021.04</v>
      </c>
      <c r="C32" s="19">
        <v>3028.85</v>
      </c>
      <c r="D32" s="293">
        <v>1393.5</v>
      </c>
      <c r="E32" s="111">
        <v>1195.4100000000001</v>
      </c>
      <c r="F32" s="111">
        <v>3198.39</v>
      </c>
      <c r="G32" s="111">
        <v>1973</v>
      </c>
      <c r="H32" s="111">
        <v>230.56</v>
      </c>
      <c r="I32" s="111">
        <v>2591.85</v>
      </c>
      <c r="J32" s="111">
        <v>157.19999999999999</v>
      </c>
      <c r="K32" s="111">
        <v>1639.09</v>
      </c>
      <c r="L32" s="111">
        <v>2354.21</v>
      </c>
      <c r="M32" s="294">
        <v>193.41</v>
      </c>
      <c r="N32" s="60">
        <f t="shared" si="0"/>
        <v>18976.509999999998</v>
      </c>
      <c r="O32" s="19">
        <f>SUM('MTRT 2008'!B32:M32)</f>
        <v>25715.3</v>
      </c>
      <c r="P32" s="22">
        <f>N32/O32-1</f>
        <v>-0.26205371899219532</v>
      </c>
      <c r="Q32" s="267" t="s">
        <v>229</v>
      </c>
    </row>
    <row r="33" spans="1:17">
      <c r="A33" s="267" t="s">
        <v>230</v>
      </c>
      <c r="B33" s="111">
        <v>3444.09</v>
      </c>
      <c r="C33" s="111">
        <v>4765.53</v>
      </c>
      <c r="D33" s="293">
        <v>6114.28</v>
      </c>
      <c r="E33" s="111">
        <v>4682.76</v>
      </c>
      <c r="F33" s="111">
        <v>1347.46</v>
      </c>
      <c r="G33" s="111">
        <v>935.97</v>
      </c>
      <c r="H33" s="111">
        <v>1636.28</v>
      </c>
      <c r="I33" s="111">
        <v>2801.41</v>
      </c>
      <c r="J33" s="111">
        <v>3447.66</v>
      </c>
      <c r="K33" s="111">
        <v>6191.26</v>
      </c>
      <c r="L33" s="111">
        <v>6200.37</v>
      </c>
      <c r="M33" s="294">
        <v>4361.93</v>
      </c>
      <c r="N33" s="60">
        <f t="shared" si="0"/>
        <v>45929</v>
      </c>
      <c r="O33" s="19">
        <f>SUM('MTRT 2008'!B33:M33)</f>
        <v>99645.409999999989</v>
      </c>
      <c r="P33" s="22">
        <f>N33/O33-1</f>
        <v>-0.53907560819911327</v>
      </c>
      <c r="Q33" s="267" t="s">
        <v>230</v>
      </c>
    </row>
    <row r="34" spans="1:17">
      <c r="A34" s="267" t="s">
        <v>232</v>
      </c>
      <c r="B34" s="111"/>
      <c r="C34" s="111">
        <v>1214.8900000000001</v>
      </c>
      <c r="D34" s="293">
        <v>1068.07</v>
      </c>
      <c r="E34" s="111">
        <v>208.4</v>
      </c>
      <c r="F34" s="111">
        <v>1316.36</v>
      </c>
      <c r="G34" s="111">
        <v>2448.79</v>
      </c>
      <c r="H34" s="111">
        <v>573.96</v>
      </c>
      <c r="I34" s="111">
        <v>2491.08</v>
      </c>
      <c r="J34" s="111">
        <v>527.63</v>
      </c>
      <c r="K34" s="111">
        <v>440.85</v>
      </c>
      <c r="L34" s="111">
        <v>1708.45</v>
      </c>
      <c r="M34" s="294">
        <v>1254.46</v>
      </c>
      <c r="N34" s="60">
        <f t="shared" si="0"/>
        <v>13252.939999999999</v>
      </c>
      <c r="O34" s="19">
        <f>SUM('MTRT 2008'!B34:M34)</f>
        <v>625.77</v>
      </c>
      <c r="P34" s="22"/>
      <c r="Q34" s="267"/>
    </row>
    <row r="35" spans="1:17">
      <c r="A35" s="267" t="s">
        <v>236</v>
      </c>
      <c r="B35" s="111">
        <v>17217.740000000002</v>
      </c>
      <c r="C35" s="111">
        <v>25667.54</v>
      </c>
      <c r="D35" s="293">
        <v>19799.02</v>
      </c>
      <c r="E35" s="111">
        <v>20810.919999999998</v>
      </c>
      <c r="F35" s="111">
        <v>43727.82</v>
      </c>
      <c r="G35" s="111">
        <v>38168.080000000002</v>
      </c>
      <c r="H35" s="111">
        <v>24737.77</v>
      </c>
      <c r="I35" s="111">
        <v>35111.56</v>
      </c>
      <c r="J35" s="111">
        <v>21679.279999999999</v>
      </c>
      <c r="K35" s="111">
        <v>21986.34</v>
      </c>
      <c r="L35" s="111">
        <v>35671.449999999997</v>
      </c>
      <c r="M35" s="294">
        <v>39457.83</v>
      </c>
      <c r="N35" s="60">
        <f t="shared" si="0"/>
        <v>344035.35000000003</v>
      </c>
      <c r="O35" s="19">
        <f>SUM('MTRT 2008'!B35:M35)</f>
        <v>40970.21</v>
      </c>
      <c r="P35" s="22"/>
      <c r="Q35" s="267"/>
    </row>
    <row r="36" spans="1:17">
      <c r="A36" s="267" t="s">
        <v>233</v>
      </c>
      <c r="B36" s="111">
        <v>3328</v>
      </c>
      <c r="C36" s="111">
        <v>5524</v>
      </c>
      <c r="D36" s="293">
        <v>7494</v>
      </c>
      <c r="E36" s="111">
        <v>8704</v>
      </c>
      <c r="F36" s="111">
        <v>9121</v>
      </c>
      <c r="G36" s="111">
        <v>5357</v>
      </c>
      <c r="H36" s="111">
        <v>4353</v>
      </c>
      <c r="I36" s="111">
        <v>4916</v>
      </c>
      <c r="J36" s="111">
        <v>5751</v>
      </c>
      <c r="K36" s="111">
        <v>9680</v>
      </c>
      <c r="L36" s="111">
        <v>5205</v>
      </c>
      <c r="M36" s="294">
        <v>6585</v>
      </c>
      <c r="N36" s="60">
        <f t="shared" si="0"/>
        <v>76018</v>
      </c>
      <c r="O36" s="19">
        <f>SUM('MTRT 2008'!B36:M36)</f>
        <v>42622</v>
      </c>
      <c r="P36" s="22">
        <f t="shared" ref="P36:P41" si="2">N36/O36-1</f>
        <v>0.7835390174088499</v>
      </c>
      <c r="Q36" s="267" t="s">
        <v>233</v>
      </c>
    </row>
    <row r="37" spans="1:17">
      <c r="A37" s="267" t="s">
        <v>237</v>
      </c>
      <c r="B37" s="111"/>
      <c r="C37" s="111">
        <v>430.54</v>
      </c>
      <c r="D37" s="293"/>
      <c r="E37" s="111"/>
      <c r="F37" s="111"/>
      <c r="G37" s="111">
        <v>276.39999999999998</v>
      </c>
      <c r="H37" s="111"/>
      <c r="I37" s="111">
        <v>370.48</v>
      </c>
      <c r="J37" s="111"/>
      <c r="K37" s="111"/>
      <c r="L37" s="111">
        <v>147.36000000000001</v>
      </c>
      <c r="M37" s="294"/>
      <c r="N37" s="60">
        <f t="shared" si="0"/>
        <v>1224.7800000000002</v>
      </c>
      <c r="O37" s="19">
        <f>SUM('MTRT 2008'!B37:M37)</f>
        <v>1177.3799999999999</v>
      </c>
      <c r="P37" s="22">
        <f t="shared" si="2"/>
        <v>4.0258879885848531E-2</v>
      </c>
      <c r="Q37" s="267" t="s">
        <v>237</v>
      </c>
    </row>
    <row r="38" spans="1:17">
      <c r="A38" s="267" t="s">
        <v>263</v>
      </c>
      <c r="B38" s="111"/>
      <c r="C38" s="111"/>
      <c r="D38" s="293"/>
      <c r="E38" s="111"/>
      <c r="F38" s="111"/>
      <c r="G38" s="111"/>
      <c r="H38" s="111"/>
      <c r="I38" s="111"/>
      <c r="J38" s="111"/>
      <c r="K38" s="111"/>
      <c r="L38" s="111"/>
      <c r="M38" s="294"/>
      <c r="N38" s="60">
        <f t="shared" si="0"/>
        <v>0</v>
      </c>
      <c r="O38" s="19">
        <f>SUM('MTRT 2008'!B38:M38)</f>
        <v>530.79999999999995</v>
      </c>
      <c r="P38" s="22">
        <f t="shared" si="2"/>
        <v>-1</v>
      </c>
      <c r="Q38" s="267" t="s">
        <v>263</v>
      </c>
    </row>
    <row r="39" spans="1:17">
      <c r="A39" s="267" t="s">
        <v>238</v>
      </c>
      <c r="B39" s="111">
        <v>9402.2800000000007</v>
      </c>
      <c r="C39" s="111">
        <v>6446.74</v>
      </c>
      <c r="D39" s="293">
        <v>2619.83</v>
      </c>
      <c r="E39" s="111">
        <v>3359.91</v>
      </c>
      <c r="F39" s="111">
        <v>6469.64</v>
      </c>
      <c r="G39" s="111">
        <v>19708.169999999998</v>
      </c>
      <c r="H39" s="111">
        <v>19040.7</v>
      </c>
      <c r="I39" s="111">
        <v>25532.55</v>
      </c>
      <c r="J39" s="111">
        <v>21297.75</v>
      </c>
      <c r="K39" s="111">
        <v>22174.51</v>
      </c>
      <c r="L39" s="111">
        <v>23295.22</v>
      </c>
      <c r="M39" s="294">
        <v>21536.65</v>
      </c>
      <c r="N39" s="60">
        <f t="shared" si="0"/>
        <v>180883.94999999998</v>
      </c>
      <c r="O39" s="19">
        <f>SUM('MTRT 2008'!B39:M39)</f>
        <v>180695.04000000001</v>
      </c>
      <c r="P39" s="22">
        <f t="shared" si="2"/>
        <v>1.0454631184120267E-3</v>
      </c>
      <c r="Q39" s="267" t="s">
        <v>238</v>
      </c>
    </row>
    <row r="40" spans="1:17">
      <c r="A40" s="267" t="s">
        <v>240</v>
      </c>
      <c r="B40" s="111">
        <v>195.32</v>
      </c>
      <c r="C40" s="111">
        <v>42.12</v>
      </c>
      <c r="D40" s="293">
        <v>29.96</v>
      </c>
      <c r="E40" s="111">
        <v>88.02</v>
      </c>
      <c r="F40" s="111">
        <v>274.20999999999998</v>
      </c>
      <c r="G40" s="111">
        <v>847.77</v>
      </c>
      <c r="H40" s="111">
        <v>821.1</v>
      </c>
      <c r="I40" s="111">
        <v>947.37</v>
      </c>
      <c r="J40" s="111">
        <v>885.57</v>
      </c>
      <c r="K40" s="111">
        <v>548.07000000000005</v>
      </c>
      <c r="L40" s="111">
        <v>741.31</v>
      </c>
      <c r="M40" s="294">
        <v>745.88</v>
      </c>
      <c r="N40" s="60">
        <f t="shared" si="0"/>
        <v>6166.7</v>
      </c>
      <c r="O40" s="19">
        <f>SUM('MTRT 2008'!B40:M40)</f>
        <v>5665.2800000000007</v>
      </c>
      <c r="P40" s="22">
        <f t="shared" si="2"/>
        <v>8.8507540668775198E-2</v>
      </c>
      <c r="Q40" s="267" t="s">
        <v>240</v>
      </c>
    </row>
    <row r="41" spans="1:17">
      <c r="A41" s="267" t="s">
        <v>242</v>
      </c>
      <c r="B41" s="111"/>
      <c r="C41" s="111">
        <v>2.2599999999999998</v>
      </c>
      <c r="D41" s="293"/>
      <c r="E41" s="111"/>
      <c r="F41" s="111"/>
      <c r="G41" s="111">
        <v>657.8</v>
      </c>
      <c r="H41" s="111">
        <v>320.69</v>
      </c>
      <c r="I41" s="111">
        <v>409.63</v>
      </c>
      <c r="J41" s="111">
        <v>317.22000000000003</v>
      </c>
      <c r="K41" s="111">
        <v>791.3</v>
      </c>
      <c r="L41" s="111"/>
      <c r="M41" s="294">
        <v>674.18</v>
      </c>
      <c r="N41" s="60">
        <f t="shared" si="0"/>
        <v>3173.08</v>
      </c>
      <c r="O41" s="19">
        <f>SUM('MTRT 2008'!B41:M41)</f>
        <v>3963.08</v>
      </c>
      <c r="P41" s="22">
        <f t="shared" si="2"/>
        <v>-0.19933990734479246</v>
      </c>
      <c r="Q41" s="267" t="s">
        <v>242</v>
      </c>
    </row>
    <row r="42" spans="1:17">
      <c r="A42" s="267" t="s">
        <v>264</v>
      </c>
      <c r="B42" s="19"/>
      <c r="C42" s="19"/>
      <c r="D42" s="293"/>
      <c r="E42" s="111"/>
      <c r="F42" s="111"/>
      <c r="G42" s="111"/>
      <c r="H42" s="111"/>
      <c r="I42" s="111"/>
      <c r="J42" s="111"/>
      <c r="K42" s="111"/>
      <c r="L42" s="111"/>
      <c r="M42" s="294"/>
      <c r="N42" s="60">
        <f t="shared" si="0"/>
        <v>0</v>
      </c>
      <c r="O42" s="19">
        <f>SUM('MTRT 2008'!B42:M42)</f>
        <v>0</v>
      </c>
      <c r="P42" s="22"/>
      <c r="Q42" s="267" t="s">
        <v>264</v>
      </c>
    </row>
    <row r="43" spans="1:17">
      <c r="A43" s="267" t="s">
        <v>244</v>
      </c>
      <c r="B43" s="19">
        <v>1667.01</v>
      </c>
      <c r="C43" s="19">
        <v>884.41</v>
      </c>
      <c r="D43" s="293">
        <v>1867.52</v>
      </c>
      <c r="E43" s="111">
        <v>1047.8499999999999</v>
      </c>
      <c r="F43" s="111">
        <v>1379.66</v>
      </c>
      <c r="G43" s="111">
        <v>2253.54</v>
      </c>
      <c r="H43" s="111">
        <v>2456.6799999999998</v>
      </c>
      <c r="I43" s="111">
        <v>2301.7600000000002</v>
      </c>
      <c r="J43" s="111">
        <v>2945.15</v>
      </c>
      <c r="K43" s="111">
        <v>2537.31</v>
      </c>
      <c r="L43" s="111">
        <v>2147.35</v>
      </c>
      <c r="M43" s="294">
        <v>1715.19</v>
      </c>
      <c r="N43" s="60">
        <f t="shared" si="0"/>
        <v>23203.43</v>
      </c>
      <c r="O43" s="19">
        <f>SUM('MTRT 2008'!B43:M43)</f>
        <v>24492.199999999997</v>
      </c>
      <c r="P43" s="22">
        <f>N43/O43-1</f>
        <v>-5.2619609508333109E-2</v>
      </c>
      <c r="Q43" s="267" t="s">
        <v>244</v>
      </c>
    </row>
    <row r="44" spans="1:17">
      <c r="A44" s="267" t="s">
        <v>245</v>
      </c>
      <c r="B44" s="19">
        <v>6985.64</v>
      </c>
      <c r="C44" s="19">
        <v>5741.47</v>
      </c>
      <c r="D44" s="293">
        <v>8711.94</v>
      </c>
      <c r="E44" s="111">
        <v>7971.51</v>
      </c>
      <c r="F44" s="111">
        <v>3137.23</v>
      </c>
      <c r="G44" s="111">
        <v>9174.3700000000008</v>
      </c>
      <c r="H44" s="111">
        <v>3833.22</v>
      </c>
      <c r="I44" s="111">
        <v>17352.189999999999</v>
      </c>
      <c r="J44" s="111">
        <v>10793.67</v>
      </c>
      <c r="K44" s="111">
        <v>6268.63</v>
      </c>
      <c r="L44" s="111">
        <v>15911.73</v>
      </c>
      <c r="M44" s="294">
        <v>8338.66</v>
      </c>
      <c r="N44" s="60">
        <f t="shared" si="0"/>
        <v>104220.26000000001</v>
      </c>
      <c r="O44" s="19">
        <f>SUM('MTRT 2008'!B44:M44)</f>
        <v>107810.47000000002</v>
      </c>
      <c r="P44" s="22">
        <f>N44/O44-1</f>
        <v>-3.3301125577135604E-2</v>
      </c>
      <c r="Q44" s="267" t="s">
        <v>245</v>
      </c>
    </row>
    <row r="45" spans="1:17">
      <c r="A45" s="267" t="s">
        <v>246</v>
      </c>
      <c r="B45" s="19">
        <v>564.53</v>
      </c>
      <c r="C45" s="19">
        <v>504.9</v>
      </c>
      <c r="D45" s="293">
        <v>550.22</v>
      </c>
      <c r="E45" s="111">
        <v>457.56</v>
      </c>
      <c r="F45" s="111"/>
      <c r="G45" s="111">
        <v>1181.3599999999999</v>
      </c>
      <c r="H45" s="111">
        <v>696.09</v>
      </c>
      <c r="I45" s="111">
        <v>960.68</v>
      </c>
      <c r="J45" s="111">
        <v>1001.25</v>
      </c>
      <c r="K45" s="111">
        <v>874.6</v>
      </c>
      <c r="L45" s="111"/>
      <c r="M45" s="294">
        <v>1268.51</v>
      </c>
      <c r="N45" s="60">
        <f t="shared" si="0"/>
        <v>8059.7000000000007</v>
      </c>
      <c r="O45" s="19">
        <f>SUM('MTRT 2008'!B45:M45)</f>
        <v>718.05</v>
      </c>
      <c r="P45" s="22"/>
      <c r="Q45" s="267"/>
    </row>
    <row r="46" spans="1:17">
      <c r="A46" s="267" t="s">
        <v>171</v>
      </c>
      <c r="B46" s="108">
        <v>2331</v>
      </c>
      <c r="C46" s="108">
        <v>2331</v>
      </c>
      <c r="D46" s="108">
        <v>2332</v>
      </c>
      <c r="E46" s="108">
        <v>2863</v>
      </c>
      <c r="F46" s="108">
        <v>2863</v>
      </c>
      <c r="G46" s="108">
        <v>2863</v>
      </c>
      <c r="H46" s="108">
        <v>3175</v>
      </c>
      <c r="I46" s="108">
        <v>3175</v>
      </c>
      <c r="J46" s="108">
        <v>3175</v>
      </c>
      <c r="K46" s="108">
        <v>1919</v>
      </c>
      <c r="L46" s="108">
        <v>1919</v>
      </c>
      <c r="M46" s="295">
        <v>1920</v>
      </c>
      <c r="N46" s="60">
        <f t="shared" si="0"/>
        <v>30866</v>
      </c>
      <c r="O46" s="19">
        <f>SUM('MTRT 2008'!B46:M46)</f>
        <v>40105</v>
      </c>
      <c r="P46" s="22">
        <f>N46/O46-1</f>
        <v>-0.23037027802019694</v>
      </c>
      <c r="Q46" s="267" t="s">
        <v>171</v>
      </c>
    </row>
    <row r="47" spans="1:17" ht="13" thickBot="1">
      <c r="A47" s="296" t="s">
        <v>169</v>
      </c>
      <c r="B47" s="108">
        <v>440</v>
      </c>
      <c r="C47" s="108">
        <v>845</v>
      </c>
      <c r="D47" s="108">
        <v>824</v>
      </c>
      <c r="E47" s="108">
        <v>1228</v>
      </c>
      <c r="F47" s="108">
        <v>1590</v>
      </c>
      <c r="G47" s="108">
        <v>1489</v>
      </c>
      <c r="H47" s="108">
        <v>1905</v>
      </c>
      <c r="I47" s="108">
        <v>2101</v>
      </c>
      <c r="J47" s="108">
        <v>1633</v>
      </c>
      <c r="K47" s="108">
        <v>1373</v>
      </c>
      <c r="L47" s="108">
        <v>789</v>
      </c>
      <c r="M47" s="295">
        <v>525</v>
      </c>
      <c r="N47" s="62">
        <f t="shared" si="0"/>
        <v>14742</v>
      </c>
      <c r="O47" s="19">
        <f>SUM('MTRT 2008'!B47:M47)</f>
        <v>25557</v>
      </c>
      <c r="P47" s="297">
        <f>N47/O47-1</f>
        <v>-0.42317173377156947</v>
      </c>
      <c r="Q47" s="267" t="s">
        <v>169</v>
      </c>
    </row>
    <row r="48" spans="1:17" ht="13" thickBot="1">
      <c r="A48" s="272" t="s">
        <v>54</v>
      </c>
      <c r="B48" s="273">
        <f>SUM(B4:B47)</f>
        <v>119165.82999999999</v>
      </c>
      <c r="C48" s="273">
        <f t="shared" ref="C48:M48" si="3">SUM(C4:C47)</f>
        <v>136731.10999999999</v>
      </c>
      <c r="D48" s="273">
        <f t="shared" si="3"/>
        <v>103006.15000000002</v>
      </c>
      <c r="E48" s="273">
        <f t="shared" si="3"/>
        <v>128670.39000000001</v>
      </c>
      <c r="F48" s="273">
        <f t="shared" si="3"/>
        <v>198565.07000000004</v>
      </c>
      <c r="G48" s="273">
        <f t="shared" si="3"/>
        <v>220905.82999999996</v>
      </c>
      <c r="H48" s="273">
        <f t="shared" si="3"/>
        <v>207726.53999999998</v>
      </c>
      <c r="I48" s="273">
        <f t="shared" si="3"/>
        <v>277951.66999999993</v>
      </c>
      <c r="J48" s="273">
        <f t="shared" si="3"/>
        <v>292008.37</v>
      </c>
      <c r="K48" s="273">
        <f t="shared" si="3"/>
        <v>175726.94999999998</v>
      </c>
      <c r="L48" s="273">
        <f t="shared" si="3"/>
        <v>263502.61</v>
      </c>
      <c r="M48" s="273">
        <f t="shared" si="3"/>
        <v>204986.62999999998</v>
      </c>
      <c r="N48" s="286">
        <f>SUM(N4:N47)</f>
        <v>2328947.1500000013</v>
      </c>
      <c r="O48" s="273">
        <f>SUM(O4:O47)</f>
        <v>2062144.5899999999</v>
      </c>
      <c r="P48" s="279">
        <f>N48/O48-1</f>
        <v>0.12938111192290425</v>
      </c>
      <c r="Q48" s="275"/>
    </row>
    <row r="49" spans="1:17">
      <c r="A49" s="276" t="s">
        <v>265</v>
      </c>
      <c r="B49" s="277">
        <f>B48/'MTRT 2008'!B49-1</f>
        <v>-7.3859078340569817E-2</v>
      </c>
      <c r="C49" s="277">
        <f>C48/'MTRT 2008'!C49-1</f>
        <v>2.2197267444346469E-2</v>
      </c>
      <c r="D49" s="277">
        <f>D48/'MTRT 2008'!D49-1</f>
        <v>0.25063924490182465</v>
      </c>
      <c r="E49" s="277">
        <f>E48/'MTRT 2008'!E49-1</f>
        <v>7.4838056385932328E-2</v>
      </c>
      <c r="F49" s="277">
        <f>F48/'MTRT 2008'!F49-1</f>
        <v>0.13180171609271429</v>
      </c>
      <c r="G49" s="277">
        <f>G48/'MTRT 2008'!G49-1</f>
        <v>0.66971510755999653</v>
      </c>
      <c r="H49" s="277">
        <f>H48/'MTRT 2008'!H49-1</f>
        <v>-5.3463157719185861E-2</v>
      </c>
      <c r="I49" s="277">
        <f>I48/'MTRT 2008'!I49-1</f>
        <v>3.3357025365370108E-2</v>
      </c>
      <c r="J49" s="277">
        <f>J48/'MTRT 2008'!J49-1</f>
        <v>0.78833193404453428</v>
      </c>
      <c r="K49" s="277">
        <f>K48/'MTRT 2008'!K49-1</f>
        <v>-0.1603316148016426</v>
      </c>
      <c r="L49" s="277">
        <f>L48/'MTRT 2008'!L49-1</f>
        <v>0.17702515222000592</v>
      </c>
      <c r="M49" s="277">
        <f>M48/'MTRT 2008'!M49-1</f>
        <v>-1.5720504933058876E-4</v>
      </c>
      <c r="N49" s="277"/>
      <c r="O49" s="1"/>
      <c r="P49" s="1"/>
      <c r="Q49" s="278"/>
    </row>
    <row r="50" spans="1:17">
      <c r="A50" s="48"/>
      <c r="C50" s="48"/>
      <c r="F50" s="48"/>
      <c r="I50" s="100"/>
    </row>
    <row r="51" spans="1:17">
      <c r="N51" s="100"/>
    </row>
    <row r="52" spans="1:17">
      <c r="I52" s="100"/>
    </row>
  </sheetData>
  <mergeCells count="1">
    <mergeCell ref="A1:P1"/>
  </mergeCells>
  <printOptions horizontalCentered="1" verticalCentered="1"/>
  <pageMargins left="0" right="0" top="0" bottom="0" header="0" footer="0"/>
  <pageSetup scale="8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 enableFormatConditionsCalculation="0">
    <tabColor rgb="FF00B050"/>
    <pageSetUpPr fitToPage="1"/>
  </sheetPr>
  <dimension ref="A1:Q53"/>
  <sheetViews>
    <sheetView workbookViewId="0">
      <pane xSplit="1" ySplit="1" topLeftCell="B2" activePane="bottomRight" state="frozen"/>
      <selection activeCell="J52" sqref="J52"/>
      <selection pane="topRight" activeCell="J52" sqref="J52"/>
      <selection pane="bottomLeft" activeCell="J52" sqref="J52"/>
      <selection pane="bottomRight" activeCell="J52" sqref="J52"/>
    </sheetView>
  </sheetViews>
  <sheetFormatPr baseColWidth="10" defaultColWidth="8.83203125" defaultRowHeight="12" x14ac:dyDescent="0"/>
  <cols>
    <col min="1" max="1" width="12.6640625" customWidth="1"/>
    <col min="17" max="17" width="12.83203125" customWidth="1"/>
  </cols>
  <sheetData>
    <row r="1" spans="1:17" ht="23">
      <c r="A1" s="711" t="s">
        <v>266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</row>
    <row r="2" spans="1:17" ht="13" thickBot="1">
      <c r="K2" s="298" t="s">
        <v>267</v>
      </c>
      <c r="L2" s="298"/>
      <c r="M2" s="298"/>
      <c r="Q2" s="238"/>
    </row>
    <row r="3" spans="1:17" ht="13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252" t="s">
        <v>13</v>
      </c>
      <c r="N3" s="52" t="s">
        <v>92</v>
      </c>
      <c r="O3" s="251" t="s">
        <v>87</v>
      </c>
      <c r="P3" s="253" t="s">
        <v>16</v>
      </c>
      <c r="Q3" s="254"/>
    </row>
    <row r="4" spans="1:17">
      <c r="A4" s="261" t="s">
        <v>154</v>
      </c>
      <c r="B4" s="271"/>
      <c r="C4" s="288">
        <v>738.04</v>
      </c>
      <c r="D4" s="265"/>
      <c r="E4" s="289"/>
      <c r="F4" s="288">
        <v>1185.78</v>
      </c>
      <c r="G4" s="289"/>
      <c r="H4" s="290">
        <v>365.83</v>
      </c>
      <c r="I4" s="288">
        <v>520.83000000000004</v>
      </c>
      <c r="J4" s="289"/>
      <c r="K4" s="290">
        <v>222.3</v>
      </c>
      <c r="L4" s="291">
        <v>770.1</v>
      </c>
      <c r="M4" s="299"/>
      <c r="N4" s="60">
        <f t="shared" ref="N4:N43" si="0">SUM(B4:M4)</f>
        <v>3802.88</v>
      </c>
      <c r="O4" s="19">
        <f>SUM('MTRT 2007'!B4:M4)</f>
        <v>2781.61</v>
      </c>
      <c r="P4" s="22">
        <f>N4/O4-1</f>
        <v>0.3671506789233574</v>
      </c>
      <c r="Q4" s="261" t="s">
        <v>154</v>
      </c>
    </row>
    <row r="5" spans="1:17">
      <c r="A5" s="261" t="s">
        <v>261</v>
      </c>
      <c r="B5" s="271"/>
      <c r="C5" s="288"/>
      <c r="D5" s="265"/>
      <c r="E5" s="289"/>
      <c r="F5" s="288"/>
      <c r="G5" s="289"/>
      <c r="H5" s="290"/>
      <c r="I5" s="288"/>
      <c r="J5" s="289"/>
      <c r="K5" s="289"/>
      <c r="L5" s="291"/>
      <c r="M5" s="299"/>
      <c r="N5" s="60">
        <f t="shared" si="0"/>
        <v>0</v>
      </c>
      <c r="O5" s="19"/>
      <c r="P5" s="22"/>
      <c r="Q5" s="261" t="s">
        <v>261</v>
      </c>
    </row>
    <row r="6" spans="1:17">
      <c r="A6" s="267" t="s">
        <v>156</v>
      </c>
      <c r="B6" s="19">
        <v>509.09</v>
      </c>
      <c r="C6" s="19">
        <v>942.65</v>
      </c>
      <c r="D6" s="293">
        <v>869.36</v>
      </c>
      <c r="E6" s="111">
        <v>1064.9100000000001</v>
      </c>
      <c r="F6" s="111">
        <v>1818.55</v>
      </c>
      <c r="G6" s="111">
        <v>1107.1500000000001</v>
      </c>
      <c r="H6" s="111">
        <v>1217.04</v>
      </c>
      <c r="I6" s="19">
        <v>1867.89</v>
      </c>
      <c r="J6" s="19">
        <v>1088.03</v>
      </c>
      <c r="K6" s="19">
        <v>1424.35</v>
      </c>
      <c r="L6" s="19">
        <v>2271.09</v>
      </c>
      <c r="M6" s="99">
        <v>840.3</v>
      </c>
      <c r="N6" s="60">
        <f t="shared" si="0"/>
        <v>15020.410000000002</v>
      </c>
      <c r="O6" s="19">
        <f>SUM('MTRT 2007'!B6:M6)</f>
        <v>17311.909999999996</v>
      </c>
      <c r="P6" s="22">
        <f>N6/O6-1</f>
        <v>-0.13236552177084993</v>
      </c>
      <c r="Q6" s="267" t="s">
        <v>156</v>
      </c>
    </row>
    <row r="7" spans="1:17">
      <c r="A7" s="267" t="s">
        <v>157</v>
      </c>
      <c r="B7" s="19"/>
      <c r="C7" s="19"/>
      <c r="D7" s="293"/>
      <c r="E7" s="111"/>
      <c r="F7" s="111"/>
      <c r="G7" s="111"/>
      <c r="H7" s="111"/>
      <c r="I7" s="19"/>
      <c r="J7" s="19"/>
      <c r="K7" s="19"/>
      <c r="L7" s="19"/>
      <c r="M7" s="99"/>
      <c r="N7" s="60"/>
      <c r="O7" s="19"/>
      <c r="P7" s="22"/>
      <c r="Q7" s="267"/>
    </row>
    <row r="8" spans="1:17">
      <c r="A8" s="267" t="s">
        <v>160</v>
      </c>
      <c r="B8" s="19">
        <v>4639</v>
      </c>
      <c r="C8" s="19">
        <v>4639</v>
      </c>
      <c r="D8" s="293">
        <v>4639</v>
      </c>
      <c r="E8" s="111">
        <v>6588</v>
      </c>
      <c r="F8" s="111">
        <v>6588</v>
      </c>
      <c r="G8" s="111">
        <v>6589</v>
      </c>
      <c r="H8" s="111">
        <v>9315</v>
      </c>
      <c r="I8" s="19">
        <v>9315</v>
      </c>
      <c r="J8" s="19">
        <v>9315</v>
      </c>
      <c r="K8" s="111">
        <v>4760</v>
      </c>
      <c r="L8" s="111">
        <v>4760</v>
      </c>
      <c r="M8" s="294">
        <v>4909</v>
      </c>
      <c r="N8" s="60">
        <f t="shared" si="0"/>
        <v>76056</v>
      </c>
      <c r="O8" s="19">
        <f>SUM('MTRT 2007'!B7:M7)</f>
        <v>74774.3</v>
      </c>
      <c r="P8" s="22">
        <f t="shared" ref="P8:P49" si="1">N8/O8-1</f>
        <v>1.7140916063406841E-2</v>
      </c>
      <c r="Q8" s="267" t="s">
        <v>160</v>
      </c>
    </row>
    <row r="9" spans="1:17">
      <c r="A9" s="267" t="s">
        <v>161</v>
      </c>
      <c r="B9" s="19">
        <v>1100.5</v>
      </c>
      <c r="C9" s="19">
        <v>1060.8599999999999</v>
      </c>
      <c r="D9" s="293">
        <v>1201.81</v>
      </c>
      <c r="E9" s="111">
        <v>1255.04</v>
      </c>
      <c r="F9" s="111">
        <v>1305.97</v>
      </c>
      <c r="G9" s="111">
        <v>1287.56</v>
      </c>
      <c r="H9" s="111">
        <v>1392.41</v>
      </c>
      <c r="I9" s="19">
        <v>1389.2</v>
      </c>
      <c r="J9" s="19">
        <v>1472.78</v>
      </c>
      <c r="K9" s="19">
        <v>1583.35</v>
      </c>
      <c r="L9" s="19">
        <v>6040.31</v>
      </c>
      <c r="M9" s="99">
        <v>2747.57</v>
      </c>
      <c r="N9" s="60">
        <f t="shared" si="0"/>
        <v>21837.360000000001</v>
      </c>
      <c r="O9" s="19">
        <f>SUM('MTRT 2007'!B8:M8)</f>
        <v>15708.610000000002</v>
      </c>
      <c r="P9" s="22">
        <f t="shared" si="1"/>
        <v>0.39015227954605769</v>
      </c>
      <c r="Q9" s="267" t="s">
        <v>161</v>
      </c>
    </row>
    <row r="10" spans="1:17">
      <c r="A10" s="267" t="s">
        <v>163</v>
      </c>
      <c r="B10" s="19">
        <v>5020.41</v>
      </c>
      <c r="C10" s="19">
        <v>3880.65</v>
      </c>
      <c r="D10" s="293">
        <v>3778.09</v>
      </c>
      <c r="E10" s="111">
        <v>2896.83</v>
      </c>
      <c r="F10" s="111">
        <v>5194.9799999999996</v>
      </c>
      <c r="G10" s="111">
        <v>6367.25</v>
      </c>
      <c r="H10" s="111">
        <v>5119.1400000000003</v>
      </c>
      <c r="I10" s="19">
        <v>12286.87</v>
      </c>
      <c r="J10" s="19">
        <v>4350.34</v>
      </c>
      <c r="K10" s="19">
        <v>8846.9699999999993</v>
      </c>
      <c r="L10" s="19"/>
      <c r="M10" s="99">
        <v>11551.25</v>
      </c>
      <c r="N10" s="60">
        <f t="shared" si="0"/>
        <v>69292.78</v>
      </c>
      <c r="O10" s="19">
        <f>SUM('MTRT 2007'!B9:M9)</f>
        <v>73245.08</v>
      </c>
      <c r="P10" s="22">
        <f t="shared" si="1"/>
        <v>-5.3959938333059454E-2</v>
      </c>
      <c r="Q10" s="267" t="s">
        <v>163</v>
      </c>
    </row>
    <row r="11" spans="1:17">
      <c r="A11" s="267" t="s">
        <v>168</v>
      </c>
      <c r="B11" s="111">
        <v>19036.509999999998</v>
      </c>
      <c r="C11" s="111">
        <v>23050.91</v>
      </c>
      <c r="D11" s="293">
        <v>7825.39</v>
      </c>
      <c r="E11" s="111">
        <v>22764.37</v>
      </c>
      <c r="F11" s="111">
        <v>6641.67</v>
      </c>
      <c r="G11" s="111">
        <v>10836.09</v>
      </c>
      <c r="H11" s="111">
        <v>19743.169999999998</v>
      </c>
      <c r="I11" s="111">
        <v>14647.21</v>
      </c>
      <c r="J11" s="111">
        <v>12494.78</v>
      </c>
      <c r="K11" s="19">
        <v>21211.65</v>
      </c>
      <c r="L11" s="19">
        <v>9359.4599999999991</v>
      </c>
      <c r="M11" s="99">
        <v>11959.59</v>
      </c>
      <c r="N11" s="60">
        <f>SUM(B11:M11)</f>
        <v>179570.79999999996</v>
      </c>
      <c r="O11" s="19">
        <f>SUM('MTRT 2007'!B10:M10)</f>
        <v>120700.06999999998</v>
      </c>
      <c r="P11" s="22">
        <f t="shared" si="1"/>
        <v>0.48774395905487045</v>
      </c>
      <c r="Q11" s="267" t="s">
        <v>168</v>
      </c>
    </row>
    <row r="12" spans="1:17">
      <c r="A12" s="267" t="s">
        <v>172</v>
      </c>
      <c r="B12" s="111">
        <v>1311</v>
      </c>
      <c r="C12" s="111">
        <v>1336</v>
      </c>
      <c r="D12" s="293">
        <v>1763.6</v>
      </c>
      <c r="E12" s="111">
        <v>1753</v>
      </c>
      <c r="F12" s="111">
        <v>1454</v>
      </c>
      <c r="G12" s="111">
        <v>1454</v>
      </c>
      <c r="H12" s="111">
        <v>2207</v>
      </c>
      <c r="I12" s="111">
        <v>2409</v>
      </c>
      <c r="J12" s="111">
        <v>1362</v>
      </c>
      <c r="K12" s="19">
        <v>2001</v>
      </c>
      <c r="L12" s="19">
        <v>1022</v>
      </c>
      <c r="M12" s="99">
        <v>990</v>
      </c>
      <c r="N12" s="60">
        <f>SUM(B12:M12)</f>
        <v>19062.599999999999</v>
      </c>
      <c r="O12" s="19">
        <f>SUM('MTRT 2007'!B11:M11)</f>
        <v>20395</v>
      </c>
      <c r="P12" s="22">
        <f t="shared" si="1"/>
        <v>-6.532973768080419E-2</v>
      </c>
      <c r="Q12" s="267" t="s">
        <v>172</v>
      </c>
    </row>
    <row r="13" spans="1:17">
      <c r="A13" s="267" t="s">
        <v>174</v>
      </c>
      <c r="B13" s="19">
        <v>1214.72</v>
      </c>
      <c r="C13" s="19">
        <v>974.3</v>
      </c>
      <c r="D13" s="293">
        <v>1539.97</v>
      </c>
      <c r="E13" s="111"/>
      <c r="F13" s="111">
        <v>1146.24</v>
      </c>
      <c r="G13" s="111">
        <v>1757.63</v>
      </c>
      <c r="H13" s="111">
        <v>2278.9899999999998</v>
      </c>
      <c r="I13" s="19">
        <v>2977.29</v>
      </c>
      <c r="J13" s="19">
        <v>742.98</v>
      </c>
      <c r="K13" s="19">
        <v>1397.01</v>
      </c>
      <c r="L13" s="19">
        <v>960.84</v>
      </c>
      <c r="M13" s="99">
        <v>3024.43</v>
      </c>
      <c r="N13" s="60">
        <f t="shared" si="0"/>
        <v>18014.399999999998</v>
      </c>
      <c r="O13" s="19">
        <f>SUM('MTRT 2007'!B12:M12)</f>
        <v>14079.760000000002</v>
      </c>
      <c r="P13" s="22">
        <f t="shared" si="1"/>
        <v>0.27945362705046084</v>
      </c>
      <c r="Q13" s="267" t="s">
        <v>174</v>
      </c>
    </row>
    <row r="14" spans="1:17">
      <c r="A14" s="267" t="s">
        <v>176</v>
      </c>
      <c r="B14" s="19">
        <v>1883.55</v>
      </c>
      <c r="C14" s="19">
        <v>5127.33</v>
      </c>
      <c r="D14" s="293">
        <v>2016.56</v>
      </c>
      <c r="E14" s="111">
        <v>2251.2600000000002</v>
      </c>
      <c r="F14" s="111">
        <v>6264.33</v>
      </c>
      <c r="G14" s="111">
        <v>2015.56</v>
      </c>
      <c r="H14" s="111">
        <v>6679.26</v>
      </c>
      <c r="I14" s="19">
        <v>11404.45</v>
      </c>
      <c r="J14" s="19">
        <v>5506.59</v>
      </c>
      <c r="K14" s="19">
        <v>5986.42</v>
      </c>
      <c r="L14" s="19">
        <v>11883.68</v>
      </c>
      <c r="M14" s="99">
        <v>4477.74</v>
      </c>
      <c r="N14" s="60">
        <f t="shared" si="0"/>
        <v>65496.729999999996</v>
      </c>
      <c r="O14" s="19">
        <f>SUM('MTRT 2007'!B13:M13)</f>
        <v>63687.649999999994</v>
      </c>
      <c r="P14" s="22">
        <f t="shared" si="1"/>
        <v>2.8405507190169654E-2</v>
      </c>
      <c r="Q14" s="267" t="s">
        <v>176</v>
      </c>
    </row>
    <row r="15" spans="1:17">
      <c r="A15" s="267" t="s">
        <v>180</v>
      </c>
      <c r="B15" s="19">
        <v>15254.26</v>
      </c>
      <c r="C15" s="19">
        <v>23512.84</v>
      </c>
      <c r="D15" s="293">
        <v>5456.37</v>
      </c>
      <c r="E15" s="111">
        <v>7143.12</v>
      </c>
      <c r="F15" s="111">
        <v>53753.39</v>
      </c>
      <c r="G15" s="111">
        <v>36608.910000000003</v>
      </c>
      <c r="H15" s="111">
        <v>57092.33</v>
      </c>
      <c r="I15" s="19">
        <v>84237.03</v>
      </c>
      <c r="J15" s="19">
        <v>45463.02</v>
      </c>
      <c r="K15" s="19">
        <v>55097.8</v>
      </c>
      <c r="L15" s="19">
        <v>78111.98</v>
      </c>
      <c r="M15" s="99">
        <v>45017.34</v>
      </c>
      <c r="N15" s="60">
        <f t="shared" si="0"/>
        <v>506748.39</v>
      </c>
      <c r="O15" s="19">
        <f>SUM('MTRT 2007'!B14:M14)</f>
        <v>443496.66999999993</v>
      </c>
      <c r="P15" s="22">
        <f t="shared" si="1"/>
        <v>0.14262050716186914</v>
      </c>
      <c r="Q15" s="267" t="s">
        <v>180</v>
      </c>
    </row>
    <row r="16" spans="1:17">
      <c r="A16" s="267" t="s">
        <v>262</v>
      </c>
      <c r="B16" s="19"/>
      <c r="C16" s="19"/>
      <c r="D16" s="293"/>
      <c r="E16" s="111"/>
      <c r="F16" s="111"/>
      <c r="G16" s="111"/>
      <c r="H16" s="111"/>
      <c r="I16" s="19"/>
      <c r="J16" s="19"/>
      <c r="K16" s="19"/>
      <c r="L16" s="19"/>
      <c r="M16" s="99"/>
      <c r="N16" s="60">
        <f t="shared" si="0"/>
        <v>0</v>
      </c>
      <c r="O16" s="19"/>
      <c r="P16" s="22"/>
      <c r="Q16" s="267" t="s">
        <v>262</v>
      </c>
    </row>
    <row r="17" spans="1:17">
      <c r="A17" s="267" t="s">
        <v>190</v>
      </c>
      <c r="B17" s="19">
        <v>8117.62</v>
      </c>
      <c r="C17" s="19">
        <v>274.67</v>
      </c>
      <c r="D17" s="293">
        <v>133.80000000000001</v>
      </c>
      <c r="E17" s="111"/>
      <c r="F17" s="111">
        <v>2137.12</v>
      </c>
      <c r="G17" s="111"/>
      <c r="H17" s="111"/>
      <c r="I17" s="19">
        <v>4234.43</v>
      </c>
      <c r="J17" s="19">
        <v>68.7</v>
      </c>
      <c r="K17" s="19">
        <v>15.93</v>
      </c>
      <c r="L17" s="19">
        <v>3272.66</v>
      </c>
      <c r="M17" s="99"/>
      <c r="N17" s="60">
        <f t="shared" si="0"/>
        <v>18254.93</v>
      </c>
      <c r="O17" s="19">
        <f>SUM('MTRT 2007'!B16:M16)</f>
        <v>3824.48</v>
      </c>
      <c r="P17" s="22"/>
      <c r="Q17" s="267" t="s">
        <v>190</v>
      </c>
    </row>
    <row r="18" spans="1:17">
      <c r="A18" s="267" t="s">
        <v>196</v>
      </c>
      <c r="B18" s="19">
        <v>1401.18</v>
      </c>
      <c r="C18" s="19">
        <v>4582.74</v>
      </c>
      <c r="D18" s="293">
        <v>3626.05</v>
      </c>
      <c r="E18" s="111">
        <v>4646.88</v>
      </c>
      <c r="F18" s="111">
        <v>4525.3100000000004</v>
      </c>
      <c r="G18" s="111">
        <v>4744.25</v>
      </c>
      <c r="H18" s="111">
        <v>4229.8100000000004</v>
      </c>
      <c r="I18" s="19">
        <v>2002.09</v>
      </c>
      <c r="J18" s="19">
        <v>1268.45</v>
      </c>
      <c r="K18" s="19">
        <v>1508.7</v>
      </c>
      <c r="L18" s="19">
        <v>1498.32</v>
      </c>
      <c r="M18" s="99">
        <v>439.99</v>
      </c>
      <c r="N18" s="60">
        <f t="shared" si="0"/>
        <v>34473.770000000004</v>
      </c>
      <c r="O18" s="19">
        <f>SUM('MTRT 2007'!B17:M17)</f>
        <v>34480.85</v>
      </c>
      <c r="P18" s="22">
        <f t="shared" si="1"/>
        <v>-2.0533136509093275E-4</v>
      </c>
      <c r="Q18" s="267" t="s">
        <v>197</v>
      </c>
    </row>
    <row r="19" spans="1:17">
      <c r="A19" s="267" t="s">
        <v>199</v>
      </c>
      <c r="B19" s="19">
        <v>2482.1799999999998</v>
      </c>
      <c r="C19" s="19">
        <v>6180</v>
      </c>
      <c r="D19" s="293">
        <v>4516.6099999999997</v>
      </c>
      <c r="E19" s="111">
        <v>4272.12</v>
      </c>
      <c r="F19" s="111"/>
      <c r="G19" s="111"/>
      <c r="H19" s="111">
        <v>11919.98</v>
      </c>
      <c r="I19" s="19">
        <v>3029</v>
      </c>
      <c r="J19" s="19">
        <v>3520.96</v>
      </c>
      <c r="K19" s="19">
        <v>7637.02</v>
      </c>
      <c r="L19" s="19"/>
      <c r="M19" s="99">
        <v>3518.58</v>
      </c>
      <c r="N19" s="60">
        <f t="shared" si="0"/>
        <v>47076.45</v>
      </c>
      <c r="O19" s="19">
        <f>SUM('MTRT 2007'!B18:M18)</f>
        <v>46152.08</v>
      </c>
      <c r="P19" s="22">
        <f t="shared" si="1"/>
        <v>2.002878310143319E-2</v>
      </c>
      <c r="Q19" s="267" t="s">
        <v>199</v>
      </c>
    </row>
    <row r="20" spans="1:17">
      <c r="A20" s="267" t="s">
        <v>204</v>
      </c>
      <c r="B20" s="19">
        <v>3367.83</v>
      </c>
      <c r="C20" s="19">
        <v>2545.6</v>
      </c>
      <c r="D20" s="293">
        <v>2010.04</v>
      </c>
      <c r="E20" s="111">
        <v>2004.24</v>
      </c>
      <c r="F20" s="111">
        <v>1154.99</v>
      </c>
      <c r="G20" s="111">
        <v>6299.04</v>
      </c>
      <c r="H20" s="111">
        <v>1588.63</v>
      </c>
      <c r="I20" s="19">
        <v>5258.18</v>
      </c>
      <c r="J20" s="19">
        <v>2732</v>
      </c>
      <c r="K20" s="19">
        <v>2310.31</v>
      </c>
      <c r="L20" s="19">
        <v>6934</v>
      </c>
      <c r="M20" s="99">
        <v>1282.1300000000001</v>
      </c>
      <c r="N20" s="60">
        <f t="shared" si="0"/>
        <v>37486.99</v>
      </c>
      <c r="O20" s="19">
        <f>SUM('MTRT 2007'!B19:M19)</f>
        <v>33567.230000000003</v>
      </c>
      <c r="P20" s="22">
        <f t="shared" si="1"/>
        <v>0.1167734126408404</v>
      </c>
      <c r="Q20" s="267" t="s">
        <v>204</v>
      </c>
    </row>
    <row r="21" spans="1:17">
      <c r="A21" s="267" t="s">
        <v>205</v>
      </c>
      <c r="B21" s="19"/>
      <c r="C21" s="19"/>
      <c r="D21" s="293"/>
      <c r="E21" s="111"/>
      <c r="F21" s="111"/>
      <c r="G21" s="111"/>
      <c r="H21" s="111"/>
      <c r="I21" s="19"/>
      <c r="J21" s="19"/>
      <c r="K21" s="19"/>
      <c r="L21" s="19"/>
      <c r="M21" s="99">
        <v>2230.0300000000002</v>
      </c>
      <c r="N21" s="60">
        <f t="shared" si="0"/>
        <v>2230.0300000000002</v>
      </c>
      <c r="O21" s="19"/>
      <c r="P21" s="22"/>
      <c r="Q21" s="267"/>
    </row>
    <row r="22" spans="1:17">
      <c r="A22" s="267" t="s">
        <v>206</v>
      </c>
      <c r="B22" s="19">
        <v>23565</v>
      </c>
      <c r="C22" s="19">
        <v>3054</v>
      </c>
      <c r="D22" s="293" t="s">
        <v>268</v>
      </c>
      <c r="E22" s="111">
        <v>17160</v>
      </c>
      <c r="F22" s="111">
        <v>7444</v>
      </c>
      <c r="G22" s="111" t="s">
        <v>269</v>
      </c>
      <c r="H22" s="111">
        <v>18260</v>
      </c>
      <c r="I22" s="19">
        <v>9624</v>
      </c>
      <c r="J22" s="19" t="s">
        <v>270</v>
      </c>
      <c r="K22" s="19">
        <v>8939</v>
      </c>
      <c r="L22" s="19">
        <v>11701</v>
      </c>
      <c r="M22" s="294" t="s">
        <v>269</v>
      </c>
      <c r="N22" s="60">
        <f t="shared" si="0"/>
        <v>99747</v>
      </c>
      <c r="O22" s="19">
        <f>SUM('MTRT 2007'!B20:M20)</f>
        <v>115911</v>
      </c>
      <c r="P22" s="22">
        <f t="shared" si="1"/>
        <v>-0.1394518207935399</v>
      </c>
      <c r="Q22" s="267" t="s">
        <v>206</v>
      </c>
    </row>
    <row r="23" spans="1:17">
      <c r="A23" s="267" t="s">
        <v>208</v>
      </c>
      <c r="B23" s="19">
        <v>1.1399999999999999</v>
      </c>
      <c r="C23" s="19">
        <v>2486.7199999999998</v>
      </c>
      <c r="D23" s="293"/>
      <c r="E23" s="111"/>
      <c r="F23" s="111">
        <v>1324.63</v>
      </c>
      <c r="G23" s="111">
        <v>1675.52</v>
      </c>
      <c r="H23" s="111">
        <v>2059.19</v>
      </c>
      <c r="I23" s="19">
        <v>2420.15</v>
      </c>
      <c r="J23" s="19">
        <v>2721.62</v>
      </c>
      <c r="K23" s="19">
        <v>2022.76</v>
      </c>
      <c r="L23" s="19">
        <v>5043.49</v>
      </c>
      <c r="M23" s="99">
        <v>1467.09</v>
      </c>
      <c r="N23" s="60">
        <f t="shared" si="0"/>
        <v>21222.31</v>
      </c>
      <c r="O23" s="19">
        <f>SUM('MTRT 2007'!B21:M21)</f>
        <v>15651.800000000001</v>
      </c>
      <c r="P23" s="22">
        <f t="shared" si="1"/>
        <v>0.35590219655247313</v>
      </c>
      <c r="Q23" s="267" t="s">
        <v>208</v>
      </c>
    </row>
    <row r="24" spans="1:17">
      <c r="A24" s="267" t="s">
        <v>209</v>
      </c>
      <c r="B24" s="19">
        <v>424.04</v>
      </c>
      <c r="C24" s="19">
        <v>4199.0200000000004</v>
      </c>
      <c r="D24" s="293">
        <v>388.3</v>
      </c>
      <c r="E24" s="111">
        <v>2.17</v>
      </c>
      <c r="F24" s="111">
        <v>2120.46</v>
      </c>
      <c r="G24" s="111">
        <v>778.94</v>
      </c>
      <c r="H24" s="111">
        <v>711.12</v>
      </c>
      <c r="I24" s="19">
        <v>3452.88</v>
      </c>
      <c r="J24" s="19">
        <v>1361.55</v>
      </c>
      <c r="K24" s="19">
        <v>2375.83</v>
      </c>
      <c r="L24" s="19">
        <v>3362.89</v>
      </c>
      <c r="M24" s="99">
        <v>1392.19</v>
      </c>
      <c r="N24" s="60">
        <f t="shared" si="0"/>
        <v>20569.39</v>
      </c>
      <c r="O24" s="19">
        <f>SUM('MTRT 2007'!B22:M22)</f>
        <v>21682.760000000002</v>
      </c>
      <c r="P24" s="22">
        <f t="shared" si="1"/>
        <v>-5.134816785317009E-2</v>
      </c>
      <c r="Q24" s="267" t="s">
        <v>209</v>
      </c>
    </row>
    <row r="25" spans="1:17">
      <c r="A25" s="267" t="s">
        <v>213</v>
      </c>
      <c r="B25" s="19">
        <v>897</v>
      </c>
      <c r="C25" s="19">
        <v>897</v>
      </c>
      <c r="D25" s="293">
        <v>897</v>
      </c>
      <c r="E25" s="111">
        <v>1670</v>
      </c>
      <c r="F25" s="111">
        <v>1670</v>
      </c>
      <c r="G25" s="111">
        <v>1671</v>
      </c>
      <c r="H25" s="111">
        <v>2114</v>
      </c>
      <c r="I25" s="19">
        <v>2114</v>
      </c>
      <c r="J25" s="19">
        <v>2115</v>
      </c>
      <c r="K25" s="19">
        <v>1377</v>
      </c>
      <c r="L25" s="19">
        <v>1377</v>
      </c>
      <c r="M25" s="99">
        <v>1378</v>
      </c>
      <c r="N25" s="60">
        <f t="shared" si="0"/>
        <v>18177</v>
      </c>
      <c r="O25" s="19">
        <f>SUM('MTRT 2007'!B23:M23)</f>
        <v>17102</v>
      </c>
      <c r="P25" s="22">
        <f t="shared" si="1"/>
        <v>6.2858145246170061E-2</v>
      </c>
      <c r="Q25" s="267" t="s">
        <v>213</v>
      </c>
    </row>
    <row r="26" spans="1:17">
      <c r="A26" s="261" t="s">
        <v>212</v>
      </c>
      <c r="B26" s="111">
        <v>3056</v>
      </c>
      <c r="C26" s="111">
        <v>3056</v>
      </c>
      <c r="D26" s="293">
        <v>3057</v>
      </c>
      <c r="E26" s="111">
        <v>5033</v>
      </c>
      <c r="F26" s="111">
        <v>5033</v>
      </c>
      <c r="G26" s="111">
        <v>5033</v>
      </c>
      <c r="H26" s="111">
        <v>6796</v>
      </c>
      <c r="I26" s="111">
        <v>6796</v>
      </c>
      <c r="J26" s="111">
        <v>6797</v>
      </c>
      <c r="K26" s="111">
        <v>4023</v>
      </c>
      <c r="L26" s="111">
        <v>4023</v>
      </c>
      <c r="M26" s="294">
        <v>4024</v>
      </c>
      <c r="N26" s="60">
        <f>SUM(B26:M26)</f>
        <v>56727</v>
      </c>
      <c r="O26" s="19">
        <f>SUM('MTRT 2007'!B24:M24)</f>
        <v>58494</v>
      </c>
      <c r="P26" s="153">
        <f t="shared" si="1"/>
        <v>-3.020822648476762E-2</v>
      </c>
      <c r="Q26" s="261" t="s">
        <v>212</v>
      </c>
    </row>
    <row r="27" spans="1:17">
      <c r="A27" s="267" t="s">
        <v>223</v>
      </c>
      <c r="B27" s="19"/>
      <c r="C27" s="19">
        <v>63.19</v>
      </c>
      <c r="D27" s="293"/>
      <c r="E27" s="111"/>
      <c r="F27" s="111">
        <v>105.26</v>
      </c>
      <c r="G27" s="111"/>
      <c r="H27" s="111"/>
      <c r="I27" s="19">
        <v>69.23</v>
      </c>
      <c r="J27" s="19"/>
      <c r="K27" s="19"/>
      <c r="L27" s="19">
        <v>72.459999999999994</v>
      </c>
      <c r="M27" s="99"/>
      <c r="N27" s="60">
        <f t="shared" si="0"/>
        <v>310.14</v>
      </c>
      <c r="O27" s="19"/>
      <c r="P27" s="22"/>
      <c r="Q27" s="267" t="s">
        <v>223</v>
      </c>
    </row>
    <row r="28" spans="1:17">
      <c r="A28" s="267" t="s">
        <v>216</v>
      </c>
      <c r="B28" s="19">
        <v>1687.18</v>
      </c>
      <c r="C28" s="19">
        <v>2022.33</v>
      </c>
      <c r="D28" s="293">
        <v>2207.64</v>
      </c>
      <c r="E28" s="111">
        <v>1665.23</v>
      </c>
      <c r="F28" s="111">
        <v>2728.99</v>
      </c>
      <c r="G28" s="111">
        <v>2533.3200000000002</v>
      </c>
      <c r="H28" s="111">
        <v>5578.32</v>
      </c>
      <c r="I28" s="19">
        <v>5340.16</v>
      </c>
      <c r="J28" s="19">
        <v>1146.31</v>
      </c>
      <c r="K28" s="19">
        <v>4141.8500000000004</v>
      </c>
      <c r="L28" s="19">
        <v>4406.22</v>
      </c>
      <c r="M28" s="99">
        <v>2755.49</v>
      </c>
      <c r="N28" s="60">
        <f t="shared" si="0"/>
        <v>36213.040000000001</v>
      </c>
      <c r="O28" s="19">
        <f>SUM('MTRT 2007'!B26:M26)</f>
        <v>34186.379999999997</v>
      </c>
      <c r="P28" s="22">
        <f t="shared" si="1"/>
        <v>5.9282673392152097E-2</v>
      </c>
      <c r="Q28" s="267" t="s">
        <v>216</v>
      </c>
    </row>
    <row r="29" spans="1:17">
      <c r="A29" s="267" t="s">
        <v>219</v>
      </c>
      <c r="B29" s="19"/>
      <c r="C29" s="19"/>
      <c r="D29" s="293"/>
      <c r="E29" s="111"/>
      <c r="F29" s="111"/>
      <c r="G29" s="111"/>
      <c r="H29" s="111"/>
      <c r="I29" s="19"/>
      <c r="J29" s="19"/>
      <c r="K29" s="19"/>
      <c r="L29" s="19"/>
      <c r="M29" s="99"/>
      <c r="N29" s="60">
        <f t="shared" si="0"/>
        <v>0</v>
      </c>
      <c r="O29" s="19"/>
      <c r="P29" s="22"/>
      <c r="Q29" s="267" t="s">
        <v>219</v>
      </c>
    </row>
    <row r="30" spans="1:17">
      <c r="A30" s="267" t="s">
        <v>224</v>
      </c>
      <c r="B30" s="19">
        <v>2540.0500000000002</v>
      </c>
      <c r="C30" s="19">
        <v>5983.87</v>
      </c>
      <c r="D30" s="293">
        <v>4240.25</v>
      </c>
      <c r="E30" s="111">
        <v>5294.91</v>
      </c>
      <c r="F30" s="111">
        <v>8351.14</v>
      </c>
      <c r="G30" s="111">
        <v>4074.04</v>
      </c>
      <c r="H30" s="111">
        <v>6326.58</v>
      </c>
      <c r="I30" s="19">
        <v>8978.1299999999992</v>
      </c>
      <c r="J30" s="19">
        <v>6053.03</v>
      </c>
      <c r="K30" s="19">
        <v>6237.96</v>
      </c>
      <c r="L30" s="19">
        <v>8800.27</v>
      </c>
      <c r="M30" s="99">
        <v>5404.15</v>
      </c>
      <c r="N30" s="60">
        <f t="shared" si="0"/>
        <v>72284.37999999999</v>
      </c>
      <c r="O30" s="19">
        <f>SUM('MTRT 2007'!B28:M28)</f>
        <v>76625.149999999994</v>
      </c>
      <c r="P30" s="22">
        <f t="shared" si="1"/>
        <v>-5.6649416020719157E-2</v>
      </c>
      <c r="Q30" s="267" t="s">
        <v>224</v>
      </c>
    </row>
    <row r="31" spans="1:17">
      <c r="A31" s="267" t="s">
        <v>227</v>
      </c>
      <c r="B31" s="19">
        <v>745</v>
      </c>
      <c r="C31" s="19">
        <v>745</v>
      </c>
      <c r="D31" s="293">
        <v>745</v>
      </c>
      <c r="E31" s="111">
        <v>701</v>
      </c>
      <c r="F31" s="111">
        <v>701</v>
      </c>
      <c r="G31" s="111">
        <v>701</v>
      </c>
      <c r="H31" s="111">
        <v>5125.08</v>
      </c>
      <c r="I31" s="19">
        <v>2198.4299999999998</v>
      </c>
      <c r="J31" s="19">
        <v>4922.59</v>
      </c>
      <c r="K31" s="19"/>
      <c r="L31" s="19">
        <v>2833.09</v>
      </c>
      <c r="M31" s="99">
        <v>2759.63</v>
      </c>
      <c r="N31" s="60">
        <f t="shared" si="0"/>
        <v>22176.82</v>
      </c>
      <c r="O31" s="19">
        <f>SUM('MTRT 2007'!B29:M29)</f>
        <v>21475</v>
      </c>
      <c r="P31" s="22">
        <f t="shared" si="1"/>
        <v>3.2680791618160621E-2</v>
      </c>
      <c r="Q31" s="267" t="s">
        <v>227</v>
      </c>
    </row>
    <row r="32" spans="1:17">
      <c r="A32" s="267" t="s">
        <v>229</v>
      </c>
      <c r="B32" s="19">
        <v>967.81</v>
      </c>
      <c r="C32" s="19">
        <v>2147.86</v>
      </c>
      <c r="D32" s="293">
        <v>2190.3000000000002</v>
      </c>
      <c r="E32" s="111">
        <v>1282.0999999999999</v>
      </c>
      <c r="F32" s="111">
        <v>7601.29</v>
      </c>
      <c r="G32" s="111">
        <v>1171.04</v>
      </c>
      <c r="H32" s="111">
        <v>2793.46</v>
      </c>
      <c r="I32" s="19">
        <v>2855.05</v>
      </c>
      <c r="J32" s="19">
        <v>2793.55</v>
      </c>
      <c r="K32" s="19"/>
      <c r="L32" s="19"/>
      <c r="M32" s="99">
        <v>1912.84</v>
      </c>
      <c r="N32" s="60">
        <f t="shared" si="0"/>
        <v>25715.3</v>
      </c>
      <c r="O32" s="19">
        <f>SUM('MTRT 2007'!B30:M30)</f>
        <v>28131.111000000001</v>
      </c>
      <c r="P32" s="22">
        <f t="shared" si="1"/>
        <v>-8.5876842901796535E-2</v>
      </c>
      <c r="Q32" s="267" t="s">
        <v>229</v>
      </c>
    </row>
    <row r="33" spans="1:17">
      <c r="A33" s="267" t="s">
        <v>230</v>
      </c>
      <c r="B33" s="111">
        <v>8380.06</v>
      </c>
      <c r="C33" s="111">
        <v>7933.23</v>
      </c>
      <c r="D33" s="293">
        <v>8936.61</v>
      </c>
      <c r="E33" s="111">
        <v>8527.26</v>
      </c>
      <c r="F33" s="111">
        <v>8266.0300000000007</v>
      </c>
      <c r="G33" s="111">
        <v>2982.21</v>
      </c>
      <c r="H33" s="111">
        <v>4365.21</v>
      </c>
      <c r="I33" s="19">
        <v>14328.06</v>
      </c>
      <c r="J33" s="19">
        <v>4085.98</v>
      </c>
      <c r="K33" s="19">
        <v>19041.7</v>
      </c>
      <c r="L33" s="19">
        <v>8261.3700000000008</v>
      </c>
      <c r="M33" s="99">
        <v>4537.6899999999996</v>
      </c>
      <c r="N33" s="60">
        <f t="shared" si="0"/>
        <v>99645.409999999989</v>
      </c>
      <c r="O33" s="19">
        <f>SUM('MTRT 2007'!B31:M31)</f>
        <v>78063.67</v>
      </c>
      <c r="P33" s="22">
        <f t="shared" si="1"/>
        <v>0.27646330232744609</v>
      </c>
      <c r="Q33" s="267" t="s">
        <v>230</v>
      </c>
    </row>
    <row r="34" spans="1:17">
      <c r="A34" s="267" t="s">
        <v>232</v>
      </c>
      <c r="B34" s="111"/>
      <c r="C34" s="111"/>
      <c r="D34" s="293"/>
      <c r="E34" s="111"/>
      <c r="F34" s="111"/>
      <c r="G34" s="111"/>
      <c r="H34" s="111"/>
      <c r="I34" s="19"/>
      <c r="J34" s="19"/>
      <c r="K34" s="19"/>
      <c r="L34" s="19"/>
      <c r="M34" s="99">
        <v>625.77</v>
      </c>
      <c r="N34" s="60">
        <f t="shared" si="0"/>
        <v>625.77</v>
      </c>
      <c r="O34" s="19"/>
      <c r="P34" s="22"/>
      <c r="Q34" s="267"/>
    </row>
    <row r="35" spans="1:17">
      <c r="A35" s="267" t="s">
        <v>236</v>
      </c>
      <c r="B35" s="111"/>
      <c r="C35" s="111"/>
      <c r="D35" s="293"/>
      <c r="E35" s="111"/>
      <c r="F35" s="111"/>
      <c r="G35" s="111"/>
      <c r="H35" s="111"/>
      <c r="I35" s="19"/>
      <c r="J35" s="19"/>
      <c r="K35" s="19"/>
      <c r="L35" s="19"/>
      <c r="M35" s="99">
        <v>40970.21</v>
      </c>
      <c r="N35" s="60">
        <f t="shared" si="0"/>
        <v>40970.21</v>
      </c>
      <c r="O35" s="19"/>
      <c r="P35" s="22"/>
      <c r="Q35" s="267"/>
    </row>
    <row r="36" spans="1:17">
      <c r="A36" s="267" t="s">
        <v>233</v>
      </c>
      <c r="B36" s="111">
        <v>2039</v>
      </c>
      <c r="C36" s="111">
        <v>2806</v>
      </c>
      <c r="D36" s="293">
        <v>3120</v>
      </c>
      <c r="E36" s="111">
        <v>4428</v>
      </c>
      <c r="F36" s="111">
        <v>4568</v>
      </c>
      <c r="G36" s="111">
        <v>3111</v>
      </c>
      <c r="H36" s="111">
        <v>2203</v>
      </c>
      <c r="I36" s="19">
        <v>2596</v>
      </c>
      <c r="J36" s="19">
        <v>2977</v>
      </c>
      <c r="K36" s="19">
        <v>10634</v>
      </c>
      <c r="L36" s="111">
        <v>929</v>
      </c>
      <c r="M36" s="294">
        <v>3211</v>
      </c>
      <c r="N36" s="60">
        <f t="shared" si="0"/>
        <v>42622</v>
      </c>
      <c r="O36" s="19">
        <f>SUM('MTRT 2007'!B32:M32)</f>
        <v>34960</v>
      </c>
      <c r="P36" s="22">
        <f t="shared" si="1"/>
        <v>0.2191647597254005</v>
      </c>
      <c r="Q36" s="267" t="s">
        <v>233</v>
      </c>
    </row>
    <row r="37" spans="1:17">
      <c r="A37" s="267" t="s">
        <v>237</v>
      </c>
      <c r="B37" s="111"/>
      <c r="C37" s="111">
        <v>247.28</v>
      </c>
      <c r="D37" s="293"/>
      <c r="E37" s="111"/>
      <c r="F37" s="111">
        <v>417.97</v>
      </c>
      <c r="G37" s="111"/>
      <c r="H37" s="111"/>
      <c r="I37" s="19"/>
      <c r="J37" s="19">
        <v>371.84</v>
      </c>
      <c r="K37" s="19"/>
      <c r="L37" s="19">
        <v>140.29</v>
      </c>
      <c r="M37" s="99"/>
      <c r="N37" s="60">
        <f t="shared" si="0"/>
        <v>1177.3799999999999</v>
      </c>
      <c r="O37" s="19">
        <f>SUM('MTRT 2007'!B33:M33)</f>
        <v>510.08000000000004</v>
      </c>
      <c r="P37" s="22">
        <f t="shared" si="1"/>
        <v>1.308226160602258</v>
      </c>
      <c r="Q37" s="267" t="s">
        <v>237</v>
      </c>
    </row>
    <row r="38" spans="1:17">
      <c r="A38" s="267" t="s">
        <v>263</v>
      </c>
      <c r="B38" s="111"/>
      <c r="C38" s="111">
        <v>287.27</v>
      </c>
      <c r="D38" s="293"/>
      <c r="E38" s="111"/>
      <c r="F38" s="111">
        <v>131.22</v>
      </c>
      <c r="G38" s="111"/>
      <c r="H38" s="111"/>
      <c r="I38" s="19">
        <v>112.31</v>
      </c>
      <c r="J38" s="19"/>
      <c r="K38" s="19"/>
      <c r="L38" s="19"/>
      <c r="M38" s="99"/>
      <c r="N38" s="60">
        <f>SUM(B38:M38)</f>
        <v>530.79999999999995</v>
      </c>
      <c r="O38" s="19">
        <f>SUM('MTRT 2007'!B34:M34)</f>
        <v>160.71</v>
      </c>
      <c r="P38" s="22">
        <f t="shared" si="1"/>
        <v>2.3028436313857252</v>
      </c>
      <c r="Q38" s="267" t="s">
        <v>263</v>
      </c>
    </row>
    <row r="39" spans="1:17">
      <c r="A39" s="267" t="s">
        <v>238</v>
      </c>
      <c r="B39" s="111">
        <v>6134.64</v>
      </c>
      <c r="C39" s="111">
        <v>6502.41</v>
      </c>
      <c r="D39" s="293">
        <v>2558.9</v>
      </c>
      <c r="E39" s="111">
        <v>3986.67</v>
      </c>
      <c r="F39" s="111">
        <v>12903.18</v>
      </c>
      <c r="G39" s="111">
        <v>13824.35</v>
      </c>
      <c r="H39" s="111">
        <v>20336.84</v>
      </c>
      <c r="I39" s="19">
        <v>28872.12</v>
      </c>
      <c r="J39" s="19">
        <v>19324.54</v>
      </c>
      <c r="K39" s="19">
        <v>19215.419999999998</v>
      </c>
      <c r="L39" s="19">
        <v>26189.99</v>
      </c>
      <c r="M39" s="99">
        <v>20845.98</v>
      </c>
      <c r="N39" s="60">
        <f t="shared" si="0"/>
        <v>180695.04000000001</v>
      </c>
      <c r="O39" s="19">
        <f>SUM('MTRT 2007'!B35:M35)</f>
        <v>153412.67000000001</v>
      </c>
      <c r="P39" s="22">
        <f t="shared" si="1"/>
        <v>0.17783648508301164</v>
      </c>
      <c r="Q39" s="267" t="s">
        <v>238</v>
      </c>
    </row>
    <row r="40" spans="1:17">
      <c r="A40" s="267" t="s">
        <v>240</v>
      </c>
      <c r="B40" s="111">
        <v>247.57</v>
      </c>
      <c r="C40" s="111">
        <v>51.03</v>
      </c>
      <c r="D40" s="293">
        <v>27.16</v>
      </c>
      <c r="E40" s="111"/>
      <c r="F40" s="111">
        <v>578.12</v>
      </c>
      <c r="G40" s="111">
        <v>493.15</v>
      </c>
      <c r="H40" s="111">
        <v>763.11</v>
      </c>
      <c r="I40" s="19">
        <v>882.18</v>
      </c>
      <c r="J40" s="19">
        <v>685.32</v>
      </c>
      <c r="K40" s="19">
        <v>672.07</v>
      </c>
      <c r="L40" s="19">
        <v>627.51</v>
      </c>
      <c r="M40" s="99">
        <v>638.05999999999995</v>
      </c>
      <c r="N40" s="60">
        <f t="shared" si="0"/>
        <v>5665.2800000000007</v>
      </c>
      <c r="O40" s="19">
        <f>SUM('MTRT 2007'!B36:M36)</f>
        <v>6250.64</v>
      </c>
      <c r="P40" s="22">
        <f t="shared" si="1"/>
        <v>-9.3648010443730501E-2</v>
      </c>
      <c r="Q40" s="267" t="s">
        <v>240</v>
      </c>
    </row>
    <row r="41" spans="1:17">
      <c r="A41" s="267" t="s">
        <v>242</v>
      </c>
      <c r="B41" s="111"/>
      <c r="C41" s="111">
        <v>555.85</v>
      </c>
      <c r="D41" s="293"/>
      <c r="E41" s="111"/>
      <c r="F41" s="111">
        <v>466.66</v>
      </c>
      <c r="G41" s="111">
        <v>275.07</v>
      </c>
      <c r="H41" s="111">
        <v>27.44</v>
      </c>
      <c r="I41" s="19">
        <v>965.46</v>
      </c>
      <c r="J41" s="19">
        <v>393.18</v>
      </c>
      <c r="K41" s="19"/>
      <c r="L41" s="19">
        <v>1279.42</v>
      </c>
      <c r="M41" s="99"/>
      <c r="N41" s="60">
        <f t="shared" si="0"/>
        <v>3963.08</v>
      </c>
      <c r="O41" s="19">
        <f>SUM('MTRT 2007'!B37:M37)</f>
        <v>3275.75</v>
      </c>
      <c r="P41" s="22">
        <f t="shared" si="1"/>
        <v>0.20982370449515386</v>
      </c>
      <c r="Q41" s="267" t="s">
        <v>242</v>
      </c>
    </row>
    <row r="42" spans="1:17">
      <c r="A42" s="267" t="s">
        <v>264</v>
      </c>
      <c r="B42" s="19"/>
      <c r="C42" s="19"/>
      <c r="D42" s="300"/>
      <c r="E42" s="19"/>
      <c r="F42" s="19"/>
      <c r="G42" s="19"/>
      <c r="H42" s="19"/>
      <c r="I42" s="19"/>
      <c r="J42" s="19"/>
      <c r="K42" s="19"/>
      <c r="L42" s="19"/>
      <c r="M42" s="99"/>
      <c r="N42" s="60">
        <f t="shared" si="0"/>
        <v>0</v>
      </c>
      <c r="O42" s="19"/>
      <c r="P42" s="22"/>
      <c r="Q42" s="267" t="s">
        <v>264</v>
      </c>
    </row>
    <row r="43" spans="1:17">
      <c r="A43" s="267" t="s">
        <v>244</v>
      </c>
      <c r="B43" s="19">
        <v>1194.6099999999999</v>
      </c>
      <c r="C43" s="19">
        <v>2162.5100000000002</v>
      </c>
      <c r="D43" s="300">
        <v>1221.58</v>
      </c>
      <c r="E43" s="19">
        <v>1305.06</v>
      </c>
      <c r="F43" s="19">
        <v>2976.99</v>
      </c>
      <c r="G43" s="19">
        <v>1461.62</v>
      </c>
      <c r="H43" s="19">
        <v>1617.66</v>
      </c>
      <c r="I43" s="19">
        <v>3344.12</v>
      </c>
      <c r="J43" s="19">
        <v>2044.39</v>
      </c>
      <c r="K43" s="19">
        <v>3341.22</v>
      </c>
      <c r="L43" s="19">
        <v>2066.73</v>
      </c>
      <c r="M43" s="99">
        <v>1755.71</v>
      </c>
      <c r="N43" s="60">
        <f t="shared" si="0"/>
        <v>24492.199999999997</v>
      </c>
      <c r="O43" s="19">
        <f>SUM('MTRT 2007'!B39:M39)</f>
        <v>22910.839999999997</v>
      </c>
      <c r="P43" s="22">
        <f t="shared" si="1"/>
        <v>6.9022349246033787E-2</v>
      </c>
      <c r="Q43" s="267" t="s">
        <v>244</v>
      </c>
    </row>
    <row r="44" spans="1:17">
      <c r="A44" s="267" t="s">
        <v>245</v>
      </c>
      <c r="B44" s="19">
        <v>6822.27</v>
      </c>
      <c r="C44" s="19">
        <v>5212.8</v>
      </c>
      <c r="D44" s="300">
        <v>8794.41</v>
      </c>
      <c r="E44" s="19">
        <v>6966.25</v>
      </c>
      <c r="F44" s="19">
        <v>9611.2999999999993</v>
      </c>
      <c r="G44" s="19">
        <v>8075.81</v>
      </c>
      <c r="H44" s="19">
        <v>10491.94</v>
      </c>
      <c r="I44" s="19">
        <v>11609.57</v>
      </c>
      <c r="J44" s="19">
        <v>8662.7999999999993</v>
      </c>
      <c r="K44" s="19">
        <v>7718.75</v>
      </c>
      <c r="L44" s="19">
        <v>11027.52</v>
      </c>
      <c r="M44" s="99">
        <v>12817.05</v>
      </c>
      <c r="N44" s="60">
        <f>SUM(B44:M44)</f>
        <v>107810.47000000002</v>
      </c>
      <c r="O44" s="19">
        <f>SUM('MTRT 2007'!B40:M40)</f>
        <v>75724.31</v>
      </c>
      <c r="P44" s="22">
        <f t="shared" si="1"/>
        <v>0.42372337232257418</v>
      </c>
      <c r="Q44" s="267" t="s">
        <v>245</v>
      </c>
    </row>
    <row r="45" spans="1:17">
      <c r="A45" s="267" t="s">
        <v>246</v>
      </c>
      <c r="B45" s="19"/>
      <c r="C45" s="19"/>
      <c r="D45" s="300"/>
      <c r="E45" s="19"/>
      <c r="F45" s="19"/>
      <c r="G45" s="19"/>
      <c r="H45" s="19"/>
      <c r="I45" s="19"/>
      <c r="J45" s="19"/>
      <c r="K45" s="19"/>
      <c r="L45" s="19"/>
      <c r="M45" s="99">
        <v>718.05</v>
      </c>
      <c r="N45" s="60">
        <f>SUM(B45:M45)</f>
        <v>718.05</v>
      </c>
      <c r="O45" s="19"/>
      <c r="P45" s="22"/>
      <c r="Q45" s="267"/>
    </row>
    <row r="46" spans="1:17">
      <c r="A46" s="267" t="s">
        <v>171</v>
      </c>
      <c r="B46" s="19">
        <v>3022</v>
      </c>
      <c r="C46" s="19">
        <v>3022</v>
      </c>
      <c r="D46" s="300">
        <v>3022</v>
      </c>
      <c r="E46" s="19">
        <v>3223</v>
      </c>
      <c r="F46" s="19">
        <v>3223</v>
      </c>
      <c r="G46" s="19">
        <v>3224</v>
      </c>
      <c r="H46" s="19">
        <v>4693</v>
      </c>
      <c r="I46" s="19">
        <v>4693</v>
      </c>
      <c r="J46" s="19">
        <v>4693</v>
      </c>
      <c r="K46" s="111">
        <v>2430</v>
      </c>
      <c r="L46" s="111">
        <v>2430</v>
      </c>
      <c r="M46" s="294">
        <v>2430</v>
      </c>
      <c r="N46" s="60">
        <f>SUM(B46:M46)</f>
        <v>40105</v>
      </c>
      <c r="O46" s="19">
        <f>SUM('MTRT 2007'!B41:M41)</f>
        <v>48365</v>
      </c>
      <c r="P46" s="22">
        <f t="shared" si="1"/>
        <v>-0.17078465832730283</v>
      </c>
      <c r="Q46" s="267" t="s">
        <v>171</v>
      </c>
    </row>
    <row r="47" spans="1:17">
      <c r="A47" s="267" t="s">
        <v>169</v>
      </c>
      <c r="B47" s="19">
        <v>1608</v>
      </c>
      <c r="C47" s="19">
        <v>1481</v>
      </c>
      <c r="D47" s="300">
        <v>1580</v>
      </c>
      <c r="E47" s="19">
        <v>1827</v>
      </c>
      <c r="F47" s="19">
        <v>2049</v>
      </c>
      <c r="G47" s="19">
        <v>2150</v>
      </c>
      <c r="H47" s="19">
        <v>2049</v>
      </c>
      <c r="I47" s="19">
        <v>2150</v>
      </c>
      <c r="J47" s="19">
        <v>2751</v>
      </c>
      <c r="K47" s="19">
        <v>3108</v>
      </c>
      <c r="L47" s="19">
        <v>2416</v>
      </c>
      <c r="M47" s="99">
        <v>2388</v>
      </c>
      <c r="N47" s="60">
        <f>SUM(B47:M47)</f>
        <v>25557</v>
      </c>
      <c r="O47" s="19">
        <f>SUM('MTRT 2007'!B42:M42)</f>
        <v>20602.73</v>
      </c>
      <c r="P47" s="22">
        <f t="shared" si="1"/>
        <v>0.24046667601817817</v>
      </c>
      <c r="Q47" s="267" t="s">
        <v>169</v>
      </c>
    </row>
    <row r="48" spans="1:17">
      <c r="A48" s="301"/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3"/>
      <c r="N48" s="304"/>
      <c r="O48" s="302"/>
      <c r="P48" s="305"/>
      <c r="Q48" s="301"/>
    </row>
    <row r="49" spans="1:17" ht="13" thickBot="1">
      <c r="A49" s="275" t="s">
        <v>54</v>
      </c>
      <c r="B49" s="306">
        <f t="shared" ref="B49:G49" si="2">SUM(B4:B48)</f>
        <v>128669.22</v>
      </c>
      <c r="C49" s="306">
        <f t="shared" si="2"/>
        <v>133761.96000000002</v>
      </c>
      <c r="D49" s="306">
        <f t="shared" si="2"/>
        <v>82362.800000000017</v>
      </c>
      <c r="E49" s="306">
        <f t="shared" si="2"/>
        <v>119711.42</v>
      </c>
      <c r="F49" s="306">
        <f t="shared" si="2"/>
        <v>175441.56999999998</v>
      </c>
      <c r="G49" s="306">
        <f t="shared" si="2"/>
        <v>132301.51</v>
      </c>
      <c r="H49" s="306">
        <f t="shared" ref="H49:N49" si="3">SUM(H4:H47)</f>
        <v>219459.53999999995</v>
      </c>
      <c r="I49" s="306">
        <f t="shared" si="3"/>
        <v>268979.31999999995</v>
      </c>
      <c r="J49" s="306">
        <f>SUM(J4:J47)</f>
        <v>163285.32999999999</v>
      </c>
      <c r="K49" s="306">
        <f t="shared" si="3"/>
        <v>209281.37000000002</v>
      </c>
      <c r="L49" s="306">
        <f t="shared" si="3"/>
        <v>223871.69</v>
      </c>
      <c r="M49" s="306">
        <f t="shared" si="3"/>
        <v>205018.86</v>
      </c>
      <c r="N49" s="286">
        <f t="shared" si="3"/>
        <v>2062144.5899999999</v>
      </c>
      <c r="O49" s="286">
        <f>SUM(O4:O47)</f>
        <v>1797700.9009999996</v>
      </c>
      <c r="P49" s="279">
        <f t="shared" si="1"/>
        <v>0.14710104937528778</v>
      </c>
      <c r="Q49" s="275"/>
    </row>
    <row r="50" spans="1:17">
      <c r="A50" s="276" t="s">
        <v>265</v>
      </c>
      <c r="B50" s="277">
        <f>B49/'MTRT 2007'!B44-1</f>
        <v>0.32495381889593089</v>
      </c>
      <c r="C50" s="277">
        <f>C49/'MTRT 2007'!C44-1</f>
        <v>0.43206484966108882</v>
      </c>
      <c r="D50" s="277">
        <f>D49/'MTRT 2007'!D44-1</f>
        <v>1.7467580132731086E-2</v>
      </c>
      <c r="E50" s="277">
        <f>E49/'MTRT 2007'!E44-1</f>
        <v>0.25821104082594681</v>
      </c>
      <c r="F50" s="277">
        <f>F49/'MTRT 2007'!F44-1</f>
        <v>0.10977495250731972</v>
      </c>
      <c r="G50" s="277">
        <f>G49/'MTRT 2007'!G44-1</f>
        <v>-0.21394946317163532</v>
      </c>
      <c r="H50" s="277">
        <f>H49/'MTRT 2007'!H44-1</f>
        <v>0.2712124684969357</v>
      </c>
      <c r="I50" s="277">
        <f>I49/'MTRT 2007'!I44-1</f>
        <v>0.11304627773260401</v>
      </c>
      <c r="J50" s="277">
        <f>J49/'MTRT 2007'!J44-1</f>
        <v>-0.18259409772907931</v>
      </c>
      <c r="K50" s="277">
        <f>K49/'MTRT 2007'!K44-1</f>
        <v>0.29632896262895381</v>
      </c>
      <c r="L50" s="277">
        <f>L49/'MTRT 2007'!L44-1</f>
        <v>0.19373449555247024</v>
      </c>
      <c r="M50" s="277">
        <f>M49/'MTRT 2007'!M44-1</f>
        <v>0.43748019132938265</v>
      </c>
      <c r="N50" s="277"/>
      <c r="O50" s="1"/>
      <c r="P50" s="1"/>
      <c r="Q50" s="261"/>
    </row>
    <row r="51" spans="1:17">
      <c r="A51" s="48"/>
      <c r="C51" s="48"/>
      <c r="F51" s="48"/>
      <c r="I51" s="100"/>
    </row>
    <row r="53" spans="1:17">
      <c r="I53" s="100"/>
    </row>
  </sheetData>
  <mergeCells count="1">
    <mergeCell ref="A1:P1"/>
  </mergeCells>
  <printOptions horizontalCentered="1" verticalCentered="1"/>
  <pageMargins left="0" right="0" top="0" bottom="0" header="0" footer="0"/>
  <pageSetup scale="8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 enableFormatConditionsCalculation="0">
    <tabColor rgb="FF00B050"/>
    <pageSetUpPr fitToPage="1"/>
  </sheetPr>
  <dimension ref="A1:Q50"/>
  <sheetViews>
    <sheetView workbookViewId="0">
      <selection activeCell="J52" sqref="J52"/>
    </sheetView>
  </sheetViews>
  <sheetFormatPr baseColWidth="10" defaultColWidth="8.83203125" defaultRowHeight="12" x14ac:dyDescent="0"/>
  <cols>
    <col min="1" max="1" width="12" customWidth="1"/>
    <col min="4" max="4" width="8.83203125" customWidth="1"/>
    <col min="11" max="11" width="10.1640625" bestFit="1" customWidth="1"/>
  </cols>
  <sheetData>
    <row r="1" spans="1:17" ht="23">
      <c r="A1" s="711" t="s">
        <v>271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</row>
    <row r="2" spans="1:17" ht="13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3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252" t="s">
        <v>13</v>
      </c>
      <c r="N3" s="307" t="s">
        <v>87</v>
      </c>
      <c r="O3" s="251" t="s">
        <v>79</v>
      </c>
      <c r="P3" s="253" t="s">
        <v>16</v>
      </c>
    </row>
    <row r="4" spans="1:17">
      <c r="A4" s="261" t="s">
        <v>154</v>
      </c>
      <c r="B4" s="271"/>
      <c r="C4" s="288">
        <v>348.37</v>
      </c>
      <c r="D4" s="265"/>
      <c r="E4" s="289"/>
      <c r="F4" s="288">
        <v>389.8</v>
      </c>
      <c r="G4" s="289"/>
      <c r="H4" s="289"/>
      <c r="I4" s="288">
        <v>1183.29</v>
      </c>
      <c r="J4" s="289"/>
      <c r="K4" s="289"/>
      <c r="L4" s="291">
        <v>860.15</v>
      </c>
      <c r="M4" s="299"/>
      <c r="N4" s="308">
        <f t="shared" ref="N4:N39" si="0">SUM(B4:M4)</f>
        <v>2781.61</v>
      </c>
      <c r="O4" s="19">
        <f>SUM('MTRT 2006'!B4:M4)</f>
        <v>1070.25</v>
      </c>
      <c r="P4" s="22">
        <f>N4/O4-1</f>
        <v>1.5990282644242</v>
      </c>
      <c r="Q4" s="261" t="s">
        <v>154</v>
      </c>
    </row>
    <row r="5" spans="1:17">
      <c r="A5" s="261" t="s">
        <v>261</v>
      </c>
      <c r="B5" s="271"/>
      <c r="C5" s="288"/>
      <c r="D5" s="265">
        <v>440.75</v>
      </c>
      <c r="E5" s="289"/>
      <c r="F5" s="288"/>
      <c r="G5" s="289"/>
      <c r="H5" s="289"/>
      <c r="I5" s="288"/>
      <c r="J5" s="289"/>
      <c r="K5" s="289"/>
      <c r="L5" s="291"/>
      <c r="M5" s="299"/>
      <c r="N5" s="308">
        <f t="shared" si="0"/>
        <v>440.75</v>
      </c>
      <c r="O5" s="39" t="s">
        <v>46</v>
      </c>
      <c r="P5" s="22" t="s">
        <v>46</v>
      </c>
      <c r="Q5" s="261" t="s">
        <v>261</v>
      </c>
    </row>
    <row r="6" spans="1:17">
      <c r="A6" s="267" t="s">
        <v>156</v>
      </c>
      <c r="B6" s="19">
        <v>1781.56</v>
      </c>
      <c r="C6" s="19">
        <v>1018.62</v>
      </c>
      <c r="D6" s="300">
        <v>887.84</v>
      </c>
      <c r="E6" s="19">
        <v>656.45</v>
      </c>
      <c r="F6" s="19">
        <v>1133.02</v>
      </c>
      <c r="G6" s="19">
        <v>1309.1600000000001</v>
      </c>
      <c r="H6" s="19">
        <v>1699.66</v>
      </c>
      <c r="I6" s="19">
        <v>1658.4</v>
      </c>
      <c r="J6" s="19">
        <v>1708.5</v>
      </c>
      <c r="K6" s="19">
        <v>1722.3</v>
      </c>
      <c r="L6" s="19">
        <v>2161.8200000000002</v>
      </c>
      <c r="M6" s="99">
        <v>1574.58</v>
      </c>
      <c r="N6" s="308">
        <f t="shared" si="0"/>
        <v>17311.909999999996</v>
      </c>
      <c r="O6" s="19">
        <f>SUM('MTRT 2006'!B5:M5)</f>
        <v>16646.309999999998</v>
      </c>
      <c r="P6" s="22">
        <f>N6/O6-1</f>
        <v>3.9984837480498525E-2</v>
      </c>
      <c r="Q6" s="267" t="s">
        <v>156</v>
      </c>
    </row>
    <row r="7" spans="1:17">
      <c r="A7" s="267" t="s">
        <v>160</v>
      </c>
      <c r="B7" s="19">
        <v>3372</v>
      </c>
      <c r="C7" s="19">
        <v>3576</v>
      </c>
      <c r="D7" s="300">
        <v>3989</v>
      </c>
      <c r="E7" s="19">
        <v>7149</v>
      </c>
      <c r="F7" s="19">
        <v>7149</v>
      </c>
      <c r="G7" s="19">
        <v>7149</v>
      </c>
      <c r="H7" s="19">
        <v>9329</v>
      </c>
      <c r="I7" s="19">
        <v>9330</v>
      </c>
      <c r="J7" s="19">
        <v>9330</v>
      </c>
      <c r="K7" s="19">
        <v>4800.1499999999996</v>
      </c>
      <c r="L7" s="19">
        <v>4800.1499999999996</v>
      </c>
      <c r="M7" s="99">
        <v>4801</v>
      </c>
      <c r="N7" s="308">
        <f t="shared" si="0"/>
        <v>74774.3</v>
      </c>
      <c r="O7" s="19">
        <f>SUM('MTRT 2006'!B6:M6)</f>
        <v>36292.6</v>
      </c>
      <c r="P7" s="22">
        <f t="shared" ref="P7:P44" si="1">N7/O7-1</f>
        <v>1.0603180813719604</v>
      </c>
      <c r="Q7" s="267" t="s">
        <v>160</v>
      </c>
    </row>
    <row r="8" spans="1:17">
      <c r="A8" s="267" t="s">
        <v>161</v>
      </c>
      <c r="B8" s="19">
        <v>2369.59</v>
      </c>
      <c r="C8" s="19">
        <v>883.53</v>
      </c>
      <c r="D8" s="300">
        <v>1029.01</v>
      </c>
      <c r="E8" s="19">
        <v>1041.81</v>
      </c>
      <c r="F8" s="19">
        <v>1123.69</v>
      </c>
      <c r="G8" s="19">
        <v>1059.6199999999999</v>
      </c>
      <c r="H8" s="19">
        <v>1333.55</v>
      </c>
      <c r="I8" s="19">
        <v>1413.44</v>
      </c>
      <c r="J8" s="19">
        <v>1398.11</v>
      </c>
      <c r="K8" s="19">
        <v>1449.81</v>
      </c>
      <c r="L8" s="19">
        <v>1298.51</v>
      </c>
      <c r="M8" s="99">
        <v>1307.94</v>
      </c>
      <c r="N8" s="308">
        <f t="shared" si="0"/>
        <v>15708.610000000002</v>
      </c>
      <c r="O8" s="19">
        <f>SUM('MTRT 2006'!B7:M7)</f>
        <v>11961.75</v>
      </c>
      <c r="P8" s="22">
        <f t="shared" si="1"/>
        <v>0.3132367755554164</v>
      </c>
      <c r="Q8" s="267" t="s">
        <v>161</v>
      </c>
    </row>
    <row r="9" spans="1:17">
      <c r="A9" s="267" t="s">
        <v>163</v>
      </c>
      <c r="B9" s="19">
        <v>4266.6400000000003</v>
      </c>
      <c r="C9" s="19">
        <v>3017.17</v>
      </c>
      <c r="D9" s="300">
        <v>2454.0500000000002</v>
      </c>
      <c r="E9" s="19">
        <v>5510.32</v>
      </c>
      <c r="F9" s="19">
        <v>4290.66</v>
      </c>
      <c r="G9" s="19">
        <v>8465.2199999999993</v>
      </c>
      <c r="H9" s="19">
        <v>6658.39</v>
      </c>
      <c r="I9" s="19">
        <v>6397.61</v>
      </c>
      <c r="J9" s="19">
        <v>10521.47</v>
      </c>
      <c r="K9" s="19">
        <v>7990.52</v>
      </c>
      <c r="L9" s="19">
        <v>6742.61</v>
      </c>
      <c r="M9" s="99">
        <v>6930.42</v>
      </c>
      <c r="N9" s="308">
        <f t="shared" si="0"/>
        <v>73245.08</v>
      </c>
      <c r="O9" s="19">
        <f>SUM('MTRT 2006'!B8:M8)</f>
        <v>65455.479999999996</v>
      </c>
      <c r="P9" s="22">
        <f t="shared" si="1"/>
        <v>0.119006078635433</v>
      </c>
      <c r="Q9" s="267" t="s">
        <v>163</v>
      </c>
    </row>
    <row r="10" spans="1:17">
      <c r="A10" s="267" t="s">
        <v>168</v>
      </c>
      <c r="B10" s="111">
        <v>11783.83</v>
      </c>
      <c r="C10" s="111">
        <v>6701.96</v>
      </c>
      <c r="D10" s="293">
        <v>6919.07</v>
      </c>
      <c r="E10" s="111">
        <v>7550.7</v>
      </c>
      <c r="F10" s="111">
        <v>6940.31</v>
      </c>
      <c r="G10" s="111">
        <v>8951.42</v>
      </c>
      <c r="H10" s="111">
        <v>8828.5400000000009</v>
      </c>
      <c r="I10" s="111">
        <v>20810.23</v>
      </c>
      <c r="J10" s="111">
        <v>11873.42</v>
      </c>
      <c r="K10" s="19">
        <v>12190.01</v>
      </c>
      <c r="L10" s="19">
        <v>10416.209999999999</v>
      </c>
      <c r="M10" s="99">
        <v>7734.37</v>
      </c>
      <c r="N10" s="308">
        <f>SUM(B10:M10)</f>
        <v>120700.06999999998</v>
      </c>
      <c r="O10" s="19">
        <f>SUM('MTRT 2006'!B9:M9)</f>
        <v>128769.95</v>
      </c>
      <c r="P10" s="22">
        <f t="shared" si="1"/>
        <v>-6.2668968963644267E-2</v>
      </c>
      <c r="Q10" s="267" t="s">
        <v>168</v>
      </c>
    </row>
    <row r="11" spans="1:17">
      <c r="A11" s="267" t="s">
        <v>172</v>
      </c>
      <c r="B11" s="111">
        <v>1161</v>
      </c>
      <c r="C11" s="111">
        <v>1298</v>
      </c>
      <c r="D11" s="293">
        <v>1515</v>
      </c>
      <c r="E11" s="111">
        <v>2191</v>
      </c>
      <c r="F11" s="111">
        <v>1239</v>
      </c>
      <c r="G11" s="111">
        <v>2438</v>
      </c>
      <c r="H11" s="111">
        <v>2127</v>
      </c>
      <c r="I11" s="111">
        <v>2688</v>
      </c>
      <c r="J11" s="111">
        <v>1621</v>
      </c>
      <c r="K11" s="19">
        <v>1902</v>
      </c>
      <c r="L11" s="19">
        <v>1222</v>
      </c>
      <c r="M11" s="99">
        <v>993</v>
      </c>
      <c r="N11" s="308">
        <f>SUM(B11:M11)</f>
        <v>20395</v>
      </c>
      <c r="O11" s="19">
        <f>SUM('MTRT 2006'!B10:M10)</f>
        <v>11796</v>
      </c>
      <c r="P11" s="22">
        <f t="shared" si="1"/>
        <v>0.72897592404204814</v>
      </c>
      <c r="Q11" s="267" t="s">
        <v>172</v>
      </c>
    </row>
    <row r="12" spans="1:17">
      <c r="A12" s="267" t="s">
        <v>174</v>
      </c>
      <c r="B12" s="19">
        <v>2000.46</v>
      </c>
      <c r="C12" s="19">
        <v>457.15</v>
      </c>
      <c r="D12" s="300">
        <v>960.5</v>
      </c>
      <c r="E12" s="19">
        <v>977.65</v>
      </c>
      <c r="F12" s="19"/>
      <c r="G12" s="19">
        <v>1785.74</v>
      </c>
      <c r="H12" s="19">
        <v>1129.67</v>
      </c>
      <c r="I12" s="19">
        <v>1044.6099999999999</v>
      </c>
      <c r="J12" s="19">
        <v>1741.96</v>
      </c>
      <c r="K12" s="19">
        <v>1158.02</v>
      </c>
      <c r="L12" s="19">
        <v>1072</v>
      </c>
      <c r="M12" s="99">
        <v>1752</v>
      </c>
      <c r="N12" s="308">
        <f t="shared" si="0"/>
        <v>14079.760000000002</v>
      </c>
      <c r="O12" s="19">
        <f>SUM('MTRT 2006'!B11:M11)</f>
        <v>12480.059999999998</v>
      </c>
      <c r="P12" s="22">
        <f t="shared" si="1"/>
        <v>0.12818047349131367</v>
      </c>
      <c r="Q12" s="267" t="s">
        <v>174</v>
      </c>
    </row>
    <row r="13" spans="1:17">
      <c r="A13" s="267" t="s">
        <v>176</v>
      </c>
      <c r="B13" s="19">
        <v>2665.62</v>
      </c>
      <c r="C13" s="19">
        <v>2693.39</v>
      </c>
      <c r="D13" s="300">
        <v>1385.87</v>
      </c>
      <c r="E13" s="19">
        <v>2402.3200000000002</v>
      </c>
      <c r="F13" s="19">
        <v>4678.3100000000004</v>
      </c>
      <c r="G13" s="19">
        <v>3973.93</v>
      </c>
      <c r="H13" s="19">
        <v>5284.71</v>
      </c>
      <c r="I13" s="19">
        <v>11617.71</v>
      </c>
      <c r="J13" s="19">
        <v>6663.46</v>
      </c>
      <c r="K13" s="19">
        <v>5701.07</v>
      </c>
      <c r="L13" s="19">
        <v>11961.24</v>
      </c>
      <c r="M13" s="99">
        <v>4660.0200000000004</v>
      </c>
      <c r="N13" s="308">
        <f t="shared" si="0"/>
        <v>63687.649999999994</v>
      </c>
      <c r="O13" s="19">
        <f>SUM('MTRT 2006'!B12:M12)</f>
        <v>53098.380000000005</v>
      </c>
      <c r="P13" s="22">
        <f t="shared" si="1"/>
        <v>0.19942736482732593</v>
      </c>
      <c r="Q13" s="267" t="s">
        <v>176</v>
      </c>
    </row>
    <row r="14" spans="1:17">
      <c r="A14" s="267" t="s">
        <v>180</v>
      </c>
      <c r="B14" s="19">
        <v>14658.1</v>
      </c>
      <c r="C14" s="19">
        <v>15789.7</v>
      </c>
      <c r="D14" s="300">
        <v>7001.74</v>
      </c>
      <c r="E14" s="19">
        <v>7736.29</v>
      </c>
      <c r="F14" s="19">
        <v>31835.49</v>
      </c>
      <c r="G14" s="19">
        <v>51200.06</v>
      </c>
      <c r="H14" s="19">
        <v>50336.92</v>
      </c>
      <c r="I14" s="19">
        <v>72117.61</v>
      </c>
      <c r="J14" s="19">
        <v>41192.699999999997</v>
      </c>
      <c r="K14" s="19">
        <v>43501.22</v>
      </c>
      <c r="L14" s="19">
        <v>69876.72</v>
      </c>
      <c r="M14" s="99">
        <v>38250.120000000003</v>
      </c>
      <c r="N14" s="308">
        <f t="shared" si="0"/>
        <v>443496.66999999993</v>
      </c>
      <c r="O14" s="19">
        <f>SUM('MTRT 2006'!B13:M13)</f>
        <v>372624.39</v>
      </c>
      <c r="P14" s="22">
        <f t="shared" si="1"/>
        <v>0.19019764111522575</v>
      </c>
      <c r="Q14" s="267" t="s">
        <v>180</v>
      </c>
    </row>
    <row r="15" spans="1:17">
      <c r="A15" s="267" t="s">
        <v>262</v>
      </c>
      <c r="B15" s="19"/>
      <c r="C15" s="19"/>
      <c r="D15" s="300"/>
      <c r="E15" s="19"/>
      <c r="F15" s="19"/>
      <c r="G15" s="19"/>
      <c r="H15" s="19"/>
      <c r="I15" s="19"/>
      <c r="J15" s="19"/>
      <c r="K15" s="19"/>
      <c r="L15" s="19"/>
      <c r="M15" s="99"/>
      <c r="N15" s="308">
        <f t="shared" si="0"/>
        <v>0</v>
      </c>
      <c r="O15" s="19">
        <f>SUM('MTRT 2006'!B14:M14)</f>
        <v>0</v>
      </c>
      <c r="P15" s="22" t="e">
        <f t="shared" si="1"/>
        <v>#DIV/0!</v>
      </c>
      <c r="Q15" s="267" t="s">
        <v>262</v>
      </c>
    </row>
    <row r="16" spans="1:17">
      <c r="A16" s="267" t="s">
        <v>190</v>
      </c>
      <c r="B16" s="19"/>
      <c r="C16" s="19"/>
      <c r="D16" s="300"/>
      <c r="E16" s="19"/>
      <c r="F16" s="19"/>
      <c r="G16" s="19"/>
      <c r="H16" s="19"/>
      <c r="I16" s="19"/>
      <c r="J16" s="19"/>
      <c r="K16" s="19"/>
      <c r="L16" s="19">
        <v>3824.48</v>
      </c>
      <c r="M16" s="99"/>
      <c r="N16" s="308">
        <f t="shared" si="0"/>
        <v>3824.48</v>
      </c>
      <c r="O16" s="19" t="s">
        <v>46</v>
      </c>
      <c r="P16" s="22" t="s">
        <v>46</v>
      </c>
      <c r="Q16" s="267" t="s">
        <v>190</v>
      </c>
    </row>
    <row r="17" spans="1:17">
      <c r="A17" s="267" t="s">
        <v>196</v>
      </c>
      <c r="B17" s="19">
        <v>1483.22</v>
      </c>
      <c r="C17" s="19">
        <v>3785.63</v>
      </c>
      <c r="D17" s="300">
        <v>2532.33</v>
      </c>
      <c r="E17" s="19">
        <v>7014.2</v>
      </c>
      <c r="F17" s="19">
        <v>6800.41</v>
      </c>
      <c r="G17" s="19">
        <v>2926.81</v>
      </c>
      <c r="H17" s="19">
        <v>1474.87</v>
      </c>
      <c r="I17" s="19">
        <v>2350.44</v>
      </c>
      <c r="J17" s="19">
        <v>1346.1</v>
      </c>
      <c r="K17" s="19">
        <v>1349.81</v>
      </c>
      <c r="L17" s="19">
        <v>2474.4299999999998</v>
      </c>
      <c r="M17" s="99">
        <v>942.6</v>
      </c>
      <c r="N17" s="308">
        <f t="shared" si="0"/>
        <v>34480.85</v>
      </c>
      <c r="O17" s="19">
        <f>SUM('MTRT 2006'!B15:M15)</f>
        <v>31591.21</v>
      </c>
      <c r="P17" s="22">
        <f t="shared" si="1"/>
        <v>9.1469747439240301E-2</v>
      </c>
      <c r="Q17" s="267" t="s">
        <v>196</v>
      </c>
    </row>
    <row r="18" spans="1:17">
      <c r="A18" s="267" t="s">
        <v>199</v>
      </c>
      <c r="B18" s="19">
        <v>2821.36</v>
      </c>
      <c r="C18" s="19">
        <v>6101.3</v>
      </c>
      <c r="D18" s="300">
        <v>4220.05</v>
      </c>
      <c r="E18" s="19">
        <v>4081.19</v>
      </c>
      <c r="F18" s="19">
        <v>4528.42</v>
      </c>
      <c r="G18" s="19">
        <v>3287.01</v>
      </c>
      <c r="H18" s="19">
        <v>3258.05</v>
      </c>
      <c r="I18" s="19">
        <v>3520.79</v>
      </c>
      <c r="J18" s="19">
        <v>3449.37</v>
      </c>
      <c r="K18" s="19">
        <v>3696.99</v>
      </c>
      <c r="L18" s="19">
        <v>3556.66</v>
      </c>
      <c r="M18" s="99">
        <v>3630.89</v>
      </c>
      <c r="N18" s="308">
        <f t="shared" si="0"/>
        <v>46152.08</v>
      </c>
      <c r="O18" s="19">
        <f>SUM('MTRT 2006'!B16:M16)</f>
        <v>40746.589999999997</v>
      </c>
      <c r="P18" s="22">
        <f t="shared" si="1"/>
        <v>0.13266116256599636</v>
      </c>
      <c r="Q18" s="267" t="s">
        <v>199</v>
      </c>
    </row>
    <row r="19" spans="1:17">
      <c r="A19" s="267" t="s">
        <v>204</v>
      </c>
      <c r="B19" s="19">
        <v>1461.14</v>
      </c>
      <c r="C19" s="19">
        <v>1115.73</v>
      </c>
      <c r="D19" s="300">
        <v>3469.15</v>
      </c>
      <c r="E19" s="19">
        <v>1721.94</v>
      </c>
      <c r="F19" s="19">
        <v>4335.9399999999996</v>
      </c>
      <c r="G19" s="19">
        <v>1203.54</v>
      </c>
      <c r="H19" s="19">
        <v>2996.86</v>
      </c>
      <c r="I19" s="19">
        <v>2358.96</v>
      </c>
      <c r="J19" s="19">
        <v>2630.51</v>
      </c>
      <c r="K19" s="19">
        <v>7322.58</v>
      </c>
      <c r="L19" s="19">
        <v>2314.86</v>
      </c>
      <c r="M19" s="99">
        <v>2636.02</v>
      </c>
      <c r="N19" s="308">
        <f t="shared" si="0"/>
        <v>33567.230000000003</v>
      </c>
      <c r="O19" s="19">
        <f>SUM('MTRT 2006'!B17:M17)</f>
        <v>29429.239999999998</v>
      </c>
      <c r="P19" s="22">
        <f t="shared" si="1"/>
        <v>0.14060811628163039</v>
      </c>
      <c r="Q19" s="267" t="s">
        <v>204</v>
      </c>
    </row>
    <row r="20" spans="1:17">
      <c r="A20" s="267" t="s">
        <v>206</v>
      </c>
      <c r="B20" s="19">
        <v>8682</v>
      </c>
      <c r="C20" s="19">
        <v>8682</v>
      </c>
      <c r="D20" s="300">
        <v>8682</v>
      </c>
      <c r="E20" s="19">
        <v>11229</v>
      </c>
      <c r="F20" s="19">
        <v>11229</v>
      </c>
      <c r="G20" s="19">
        <v>11229</v>
      </c>
      <c r="H20" s="19">
        <v>11192</v>
      </c>
      <c r="I20" s="19">
        <v>11192</v>
      </c>
      <c r="J20" s="19">
        <v>11193</v>
      </c>
      <c r="K20" s="19">
        <v>4926</v>
      </c>
      <c r="L20" s="19">
        <v>4926</v>
      </c>
      <c r="M20" s="99">
        <v>12749</v>
      </c>
      <c r="N20" s="308">
        <f t="shared" si="0"/>
        <v>115911</v>
      </c>
      <c r="O20" s="19">
        <f>SUM('MTRT 2006'!B18:M18)</f>
        <v>87256</v>
      </c>
      <c r="P20" s="22">
        <f t="shared" si="1"/>
        <v>0.3284014852846795</v>
      </c>
      <c r="Q20" s="267" t="s">
        <v>206</v>
      </c>
    </row>
    <row r="21" spans="1:17">
      <c r="A21" s="267" t="s">
        <v>208</v>
      </c>
      <c r="B21" s="19">
        <v>401.74</v>
      </c>
      <c r="C21" s="19">
        <v>2103.62</v>
      </c>
      <c r="D21" s="300">
        <v>37.450000000000003</v>
      </c>
      <c r="E21" s="19">
        <v>166.51</v>
      </c>
      <c r="F21" s="19">
        <v>762.12</v>
      </c>
      <c r="G21" s="19">
        <v>878.71</v>
      </c>
      <c r="H21" s="19">
        <v>4.42</v>
      </c>
      <c r="I21" s="19">
        <v>4368.2</v>
      </c>
      <c r="J21" s="19">
        <v>3822.98</v>
      </c>
      <c r="K21" s="19">
        <v>0</v>
      </c>
      <c r="L21" s="19">
        <v>2969.68</v>
      </c>
      <c r="M21" s="99">
        <v>136.37</v>
      </c>
      <c r="N21" s="308">
        <f t="shared" si="0"/>
        <v>15651.800000000001</v>
      </c>
      <c r="O21" s="19">
        <f>SUM('MTRT 2006'!B19:M19)</f>
        <v>17675.97</v>
      </c>
      <c r="P21" s="22">
        <f t="shared" si="1"/>
        <v>-0.11451535615867192</v>
      </c>
      <c r="Q21" s="267" t="s">
        <v>208</v>
      </c>
    </row>
    <row r="22" spans="1:17">
      <c r="A22" s="267" t="s">
        <v>209</v>
      </c>
      <c r="B22" s="19">
        <v>384.43</v>
      </c>
      <c r="C22" s="19">
        <v>1699.99</v>
      </c>
      <c r="D22" s="300">
        <v>285.83999999999997</v>
      </c>
      <c r="E22" s="19">
        <v>788.61</v>
      </c>
      <c r="F22" s="19">
        <v>1239.1199999999999</v>
      </c>
      <c r="G22" s="19">
        <v>1803.28</v>
      </c>
      <c r="H22" s="19">
        <v>1499.8</v>
      </c>
      <c r="I22" s="19">
        <v>8407.59</v>
      </c>
      <c r="J22" s="19">
        <v>0</v>
      </c>
      <c r="K22" s="19">
        <v>0</v>
      </c>
      <c r="L22" s="19">
        <v>4241.6099999999997</v>
      </c>
      <c r="M22" s="99">
        <v>1332.49</v>
      </c>
      <c r="N22" s="308">
        <f t="shared" si="0"/>
        <v>21682.760000000002</v>
      </c>
      <c r="O22" s="19">
        <f>SUM('MTRT 2006'!B20:M20)</f>
        <v>15328.649999999998</v>
      </c>
      <c r="P22" s="22">
        <f t="shared" si="1"/>
        <v>0.41452508864120485</v>
      </c>
      <c r="Q22" s="267" t="s">
        <v>209</v>
      </c>
    </row>
    <row r="23" spans="1:17">
      <c r="A23" s="267" t="s">
        <v>213</v>
      </c>
      <c r="B23" s="19">
        <v>1058</v>
      </c>
      <c r="C23" s="19">
        <v>1058</v>
      </c>
      <c r="D23" s="300">
        <v>1058</v>
      </c>
      <c r="E23" s="19">
        <v>1651</v>
      </c>
      <c r="F23" s="19">
        <v>1651</v>
      </c>
      <c r="G23" s="19">
        <v>1651</v>
      </c>
      <c r="H23" s="19">
        <v>1686</v>
      </c>
      <c r="I23" s="19">
        <v>1686</v>
      </c>
      <c r="J23" s="19">
        <v>1687</v>
      </c>
      <c r="K23" s="19">
        <v>1305</v>
      </c>
      <c r="L23" s="19">
        <v>1305</v>
      </c>
      <c r="M23" s="99">
        <v>1306</v>
      </c>
      <c r="N23" s="308">
        <f t="shared" si="0"/>
        <v>17102</v>
      </c>
      <c r="O23" s="19">
        <f>SUM('MTRT 2006'!B21:M21)</f>
        <v>6456</v>
      </c>
      <c r="P23" s="22">
        <f t="shared" si="1"/>
        <v>1.6490086741016108</v>
      </c>
      <c r="Q23" s="267" t="s">
        <v>213</v>
      </c>
    </row>
    <row r="24" spans="1:17">
      <c r="A24" s="267" t="s">
        <v>212</v>
      </c>
      <c r="B24" s="19">
        <v>2688</v>
      </c>
      <c r="C24" s="19">
        <v>2688</v>
      </c>
      <c r="D24" s="300">
        <v>2688</v>
      </c>
      <c r="E24" s="19">
        <v>5790</v>
      </c>
      <c r="F24" s="19">
        <v>5790</v>
      </c>
      <c r="G24" s="19">
        <v>5790</v>
      </c>
      <c r="H24" s="19">
        <v>7550</v>
      </c>
      <c r="I24" s="19">
        <v>7550</v>
      </c>
      <c r="J24" s="19">
        <v>7550</v>
      </c>
      <c r="K24" s="19">
        <v>3470</v>
      </c>
      <c r="L24" s="19">
        <v>3470</v>
      </c>
      <c r="M24" s="99">
        <v>3470</v>
      </c>
      <c r="N24" s="308">
        <f>SUM(B24:M24)</f>
        <v>58494</v>
      </c>
      <c r="O24" s="19">
        <f>SUM('MTRT 2006'!B22:M22)</f>
        <v>24613.24</v>
      </c>
      <c r="P24" s="22">
        <f t="shared" si="1"/>
        <v>1.3765258048107438</v>
      </c>
      <c r="Q24" s="267" t="s">
        <v>212</v>
      </c>
    </row>
    <row r="25" spans="1:17">
      <c r="A25" s="267" t="s">
        <v>223</v>
      </c>
      <c r="B25" s="19"/>
      <c r="C25" s="19">
        <v>79.31</v>
      </c>
      <c r="D25" s="300"/>
      <c r="E25" s="19"/>
      <c r="F25" s="19">
        <v>69</v>
      </c>
      <c r="G25" s="19">
        <v>66.03</v>
      </c>
      <c r="H25" s="19"/>
      <c r="I25" s="19">
        <v>74.95</v>
      </c>
      <c r="J25" s="19"/>
      <c r="K25" s="19"/>
      <c r="L25" s="19">
        <v>101.19</v>
      </c>
      <c r="M25" s="99"/>
      <c r="N25" s="308">
        <f t="shared" si="0"/>
        <v>390.48</v>
      </c>
      <c r="O25" s="19">
        <f>SUM('MTRT 2006'!B23:M23)</f>
        <v>351.80999999999995</v>
      </c>
      <c r="P25" s="22">
        <f t="shared" si="1"/>
        <v>0.10991728489809871</v>
      </c>
      <c r="Q25" s="267" t="s">
        <v>223</v>
      </c>
    </row>
    <row r="26" spans="1:17">
      <c r="A26" s="267" t="s">
        <v>216</v>
      </c>
      <c r="B26" s="19">
        <v>1969.56</v>
      </c>
      <c r="C26" s="19">
        <v>1862.39</v>
      </c>
      <c r="D26" s="300">
        <v>1085.51</v>
      </c>
      <c r="E26" s="19">
        <v>1741.47</v>
      </c>
      <c r="F26" s="19">
        <v>2830.04</v>
      </c>
      <c r="G26" s="19">
        <v>2867.95</v>
      </c>
      <c r="H26" s="19">
        <v>4199.7299999999996</v>
      </c>
      <c r="I26" s="19">
        <v>3821.29</v>
      </c>
      <c r="J26" s="19">
        <v>4278.53</v>
      </c>
      <c r="K26" s="19">
        <v>3350.62</v>
      </c>
      <c r="L26" s="19">
        <v>3513.28</v>
      </c>
      <c r="M26" s="99">
        <v>2666.01</v>
      </c>
      <c r="N26" s="308">
        <f t="shared" si="0"/>
        <v>34186.379999999997</v>
      </c>
      <c r="O26" s="19">
        <f>SUM('MTRT 2006'!B24:M24)</f>
        <v>39699.100000000006</v>
      </c>
      <c r="P26" s="22">
        <f t="shared" si="1"/>
        <v>-0.13886259386232958</v>
      </c>
      <c r="Q26" s="267" t="s">
        <v>216</v>
      </c>
    </row>
    <row r="27" spans="1:17">
      <c r="A27" s="267" t="s">
        <v>219</v>
      </c>
      <c r="B27" s="19"/>
      <c r="C27" s="19"/>
      <c r="D27" s="300"/>
      <c r="E27" s="19"/>
      <c r="F27" s="19">
        <v>140.4</v>
      </c>
      <c r="G27" s="19"/>
      <c r="H27" s="19">
        <v>0</v>
      </c>
      <c r="I27" s="19"/>
      <c r="J27" s="19"/>
      <c r="K27" s="19"/>
      <c r="L27" s="19"/>
      <c r="M27" s="99"/>
      <c r="N27" s="308">
        <f t="shared" si="0"/>
        <v>140.4</v>
      </c>
      <c r="O27" s="19" t="s">
        <v>46</v>
      </c>
      <c r="P27" s="22"/>
      <c r="Q27" s="267" t="s">
        <v>219</v>
      </c>
    </row>
    <row r="28" spans="1:17">
      <c r="A28" s="267" t="s">
        <v>224</v>
      </c>
      <c r="B28" s="19">
        <v>4759.21</v>
      </c>
      <c r="C28" s="19">
        <v>4884.76</v>
      </c>
      <c r="D28" s="300">
        <v>7768.49</v>
      </c>
      <c r="E28" s="19">
        <v>3861.09</v>
      </c>
      <c r="F28" s="19">
        <v>2320.66</v>
      </c>
      <c r="G28" s="19">
        <v>8419.2099999999991</v>
      </c>
      <c r="H28" s="19">
        <v>9851.06</v>
      </c>
      <c r="I28" s="19">
        <v>9820.59</v>
      </c>
      <c r="J28" s="19">
        <v>24940.080000000002</v>
      </c>
      <c r="K28" s="19">
        <v>0</v>
      </c>
      <c r="L28" s="19"/>
      <c r="M28" s="99">
        <v>0</v>
      </c>
      <c r="N28" s="308">
        <f t="shared" si="0"/>
        <v>76625.149999999994</v>
      </c>
      <c r="O28" s="19">
        <f>SUM('MTRT 2006'!B25:M25)</f>
        <v>72865.429999999993</v>
      </c>
      <c r="P28" s="22">
        <f t="shared" si="1"/>
        <v>5.1598130965534672E-2</v>
      </c>
      <c r="Q28" s="267" t="s">
        <v>224</v>
      </c>
    </row>
    <row r="29" spans="1:17">
      <c r="A29" s="267" t="s">
        <v>227</v>
      </c>
      <c r="B29" s="19">
        <v>1677</v>
      </c>
      <c r="C29" s="19">
        <v>1677</v>
      </c>
      <c r="D29" s="300">
        <v>1677</v>
      </c>
      <c r="E29" s="19">
        <v>1860</v>
      </c>
      <c r="F29" s="19">
        <v>1860</v>
      </c>
      <c r="G29" s="19">
        <v>1860</v>
      </c>
      <c r="H29" s="19">
        <v>2674</v>
      </c>
      <c r="I29" s="19">
        <v>2674</v>
      </c>
      <c r="J29" s="19">
        <v>2675</v>
      </c>
      <c r="K29" s="19">
        <v>947</v>
      </c>
      <c r="L29" s="19">
        <v>947</v>
      </c>
      <c r="M29" s="99">
        <v>947</v>
      </c>
      <c r="N29" s="308">
        <f t="shared" si="0"/>
        <v>21475</v>
      </c>
      <c r="O29" s="19">
        <f>SUM('MTRT 2006'!B26:M26)</f>
        <v>17562</v>
      </c>
      <c r="P29" s="22">
        <f t="shared" si="1"/>
        <v>0.22281061382530454</v>
      </c>
      <c r="Q29" s="267" t="s">
        <v>227</v>
      </c>
    </row>
    <row r="30" spans="1:17">
      <c r="A30" s="267" t="s">
        <v>229</v>
      </c>
      <c r="B30" s="19">
        <v>863.71</v>
      </c>
      <c r="C30" s="19">
        <v>2992.66</v>
      </c>
      <c r="D30" s="300">
        <v>3106.35</v>
      </c>
      <c r="E30" s="19">
        <v>1636.05</v>
      </c>
      <c r="F30" s="19">
        <v>1517.06</v>
      </c>
      <c r="G30" s="19">
        <v>1814.41</v>
      </c>
      <c r="H30" s="19">
        <v>1285.78</v>
      </c>
      <c r="I30" s="19">
        <v>4953.07</v>
      </c>
      <c r="J30" s="19">
        <v>3307.01</v>
      </c>
      <c r="K30" s="19">
        <v>2575.1</v>
      </c>
      <c r="L30" s="19">
        <v>2840.76</v>
      </c>
      <c r="M30" s="99">
        <v>1239.1510000000001</v>
      </c>
      <c r="N30" s="308">
        <f t="shared" si="0"/>
        <v>28131.111000000001</v>
      </c>
      <c r="O30" s="19">
        <f>SUM('MTRT 2006'!B27:M27)</f>
        <v>26768.440000000002</v>
      </c>
      <c r="P30" s="22">
        <f t="shared" si="1"/>
        <v>5.0905880208185428E-2</v>
      </c>
      <c r="Q30" s="267" t="s">
        <v>229</v>
      </c>
    </row>
    <row r="31" spans="1:17">
      <c r="A31" s="267" t="s">
        <v>230</v>
      </c>
      <c r="B31" s="19">
        <v>1490.47</v>
      </c>
      <c r="C31" s="19">
        <v>10354.67</v>
      </c>
      <c r="D31" s="300">
        <v>3602.72</v>
      </c>
      <c r="E31" s="19">
        <v>2465.2600000000002</v>
      </c>
      <c r="F31" s="19">
        <v>14937.84</v>
      </c>
      <c r="G31" s="19">
        <v>1929.29</v>
      </c>
      <c r="H31" s="19">
        <v>2859.32</v>
      </c>
      <c r="I31" s="19">
        <v>12134.55</v>
      </c>
      <c r="J31" s="19">
        <v>10739.38</v>
      </c>
      <c r="K31" s="19">
        <v>8582.7099999999991</v>
      </c>
      <c r="L31" s="19">
        <v>3308.24</v>
      </c>
      <c r="M31" s="99">
        <v>5659.22</v>
      </c>
      <c r="N31" s="308">
        <f t="shared" si="0"/>
        <v>78063.67</v>
      </c>
      <c r="O31" s="19">
        <f>SUM('MTRT 2006'!B28:M28)</f>
        <v>61994.079999999994</v>
      </c>
      <c r="P31" s="22">
        <f t="shared" si="1"/>
        <v>0.25921168601905231</v>
      </c>
      <c r="Q31" s="267" t="s">
        <v>230</v>
      </c>
    </row>
    <row r="32" spans="1:17">
      <c r="A32" s="267" t="s">
        <v>233</v>
      </c>
      <c r="B32" s="19">
        <v>1111</v>
      </c>
      <c r="C32" s="19">
        <v>1479</v>
      </c>
      <c r="D32" s="300">
        <v>2615</v>
      </c>
      <c r="E32" s="19">
        <v>4434</v>
      </c>
      <c r="F32" s="19">
        <v>4404</v>
      </c>
      <c r="G32" s="19">
        <v>3535</v>
      </c>
      <c r="H32" s="19">
        <v>2594</v>
      </c>
      <c r="I32" s="19">
        <v>2631</v>
      </c>
      <c r="J32" s="19">
        <v>3079</v>
      </c>
      <c r="K32" s="19">
        <v>4129</v>
      </c>
      <c r="L32" s="19">
        <v>3086</v>
      </c>
      <c r="M32" s="99">
        <v>1863</v>
      </c>
      <c r="N32" s="308">
        <f t="shared" si="0"/>
        <v>34960</v>
      </c>
      <c r="O32" s="19">
        <f>SUM('MTRT 2006'!B29:M29)</f>
        <v>15233</v>
      </c>
      <c r="P32" s="22">
        <f t="shared" si="1"/>
        <v>1.2950173964419354</v>
      </c>
      <c r="Q32" s="267" t="s">
        <v>233</v>
      </c>
    </row>
    <row r="33" spans="1:17">
      <c r="A33" s="267" t="s">
        <v>237</v>
      </c>
      <c r="B33" s="19"/>
      <c r="C33" s="19">
        <v>95.78</v>
      </c>
      <c r="D33" s="300"/>
      <c r="E33" s="19"/>
      <c r="F33" s="19">
        <v>106.94</v>
      </c>
      <c r="G33" s="19"/>
      <c r="H33" s="19"/>
      <c r="I33" s="19"/>
      <c r="J33" s="19">
        <v>137.46</v>
      </c>
      <c r="K33" s="19">
        <v>0</v>
      </c>
      <c r="L33" s="19"/>
      <c r="M33" s="99">
        <v>169.9</v>
      </c>
      <c r="N33" s="308">
        <f t="shared" si="0"/>
        <v>510.08000000000004</v>
      </c>
      <c r="O33" s="19">
        <f>SUM('MTRT 2006'!B30:M30)</f>
        <v>419.72</v>
      </c>
      <c r="P33" s="22" t="s">
        <v>46</v>
      </c>
      <c r="Q33" s="267" t="s">
        <v>237</v>
      </c>
    </row>
    <row r="34" spans="1:17">
      <c r="A34" s="267" t="s">
        <v>263</v>
      </c>
      <c r="B34" s="19"/>
      <c r="C34" s="19"/>
      <c r="D34" s="300"/>
      <c r="E34" s="19"/>
      <c r="F34" s="19"/>
      <c r="G34" s="19"/>
      <c r="H34" s="19">
        <v>0</v>
      </c>
      <c r="I34" s="19">
        <v>160.71</v>
      </c>
      <c r="J34" s="19"/>
      <c r="K34" s="19"/>
      <c r="L34" s="19"/>
      <c r="M34" s="99"/>
      <c r="N34" s="308">
        <f>SUM(B34:M34)</f>
        <v>160.71</v>
      </c>
      <c r="O34" s="19" t="s">
        <v>46</v>
      </c>
      <c r="P34" s="22"/>
      <c r="Q34" s="267" t="s">
        <v>263</v>
      </c>
    </row>
    <row r="35" spans="1:17">
      <c r="A35" s="267" t="s">
        <v>238</v>
      </c>
      <c r="B35" s="19">
        <v>6624.48</v>
      </c>
      <c r="C35" s="19"/>
      <c r="D35" s="300">
        <v>1562.26</v>
      </c>
      <c r="E35" s="19">
        <v>4105.1899999999996</v>
      </c>
      <c r="F35" s="19">
        <v>9327.3799999999992</v>
      </c>
      <c r="G35" s="19">
        <v>14842.37</v>
      </c>
      <c r="H35" s="19">
        <v>15309.57</v>
      </c>
      <c r="I35" s="19">
        <v>24597.34</v>
      </c>
      <c r="J35" s="19">
        <v>20453.740000000002</v>
      </c>
      <c r="K35" s="19">
        <v>15096.59</v>
      </c>
      <c r="L35" s="19">
        <v>25962.03</v>
      </c>
      <c r="M35" s="99">
        <v>15531.72</v>
      </c>
      <c r="N35" s="308">
        <f t="shared" si="0"/>
        <v>153412.67000000001</v>
      </c>
      <c r="O35" s="19">
        <f>SUM('MTRT 2006'!B31:M31)</f>
        <v>133810.22</v>
      </c>
      <c r="P35" s="22">
        <f t="shared" si="1"/>
        <v>0.14649441574791533</v>
      </c>
      <c r="Q35" s="267" t="s">
        <v>238</v>
      </c>
    </row>
    <row r="36" spans="1:17">
      <c r="A36" s="267" t="s">
        <v>240</v>
      </c>
      <c r="B36" s="19"/>
      <c r="C36" s="19">
        <v>862.57</v>
      </c>
      <c r="D36" s="300"/>
      <c r="E36" s="19"/>
      <c r="F36" s="19">
        <v>489.45</v>
      </c>
      <c r="G36" s="19"/>
      <c r="H36" s="19"/>
      <c r="I36" s="19">
        <v>2465.9699999999998</v>
      </c>
      <c r="J36" s="19">
        <v>759.21</v>
      </c>
      <c r="K36" s="19">
        <v>263.47000000000003</v>
      </c>
      <c r="L36" s="19">
        <v>720.92</v>
      </c>
      <c r="M36" s="99">
        <v>689.05</v>
      </c>
      <c r="N36" s="308">
        <f t="shared" si="0"/>
        <v>6250.64</v>
      </c>
      <c r="O36" s="19">
        <f>SUM('MTRT 2006'!B32:M32)</f>
        <v>3116.48</v>
      </c>
      <c r="P36" s="22"/>
      <c r="Q36" s="267" t="s">
        <v>240</v>
      </c>
    </row>
    <row r="37" spans="1:17">
      <c r="A37" s="267" t="s">
        <v>242</v>
      </c>
      <c r="B37" s="19">
        <v>88.08</v>
      </c>
      <c r="C37" s="19">
        <v>0</v>
      </c>
      <c r="D37" s="300"/>
      <c r="E37" s="19"/>
      <c r="F37" s="19">
        <v>225.5</v>
      </c>
      <c r="G37" s="19">
        <v>545.61</v>
      </c>
      <c r="H37" s="19">
        <v>0</v>
      </c>
      <c r="I37" s="19">
        <v>895.11</v>
      </c>
      <c r="J37" s="19">
        <v>411.49</v>
      </c>
      <c r="K37" s="19">
        <v>6.45</v>
      </c>
      <c r="L37" s="19">
        <v>1103.51</v>
      </c>
      <c r="M37" s="99">
        <v>0</v>
      </c>
      <c r="N37" s="308">
        <f t="shared" si="0"/>
        <v>3275.75</v>
      </c>
      <c r="O37" s="19">
        <f>SUM('MTRT 2006'!B33:M33)</f>
        <v>2671.31</v>
      </c>
      <c r="P37" s="22">
        <f t="shared" si="1"/>
        <v>0.22627100561147895</v>
      </c>
      <c r="Q37" s="267" t="s">
        <v>242</v>
      </c>
    </row>
    <row r="38" spans="1:17">
      <c r="A38" s="267" t="s">
        <v>264</v>
      </c>
      <c r="B38" s="19"/>
      <c r="C38" s="19"/>
      <c r="D38" s="300"/>
      <c r="E38" s="19"/>
      <c r="F38" s="19"/>
      <c r="G38" s="19"/>
      <c r="H38" s="19"/>
      <c r="I38" s="19"/>
      <c r="J38" s="19"/>
      <c r="K38" s="19"/>
      <c r="L38" s="19"/>
      <c r="M38" s="99"/>
      <c r="N38" s="308">
        <f t="shared" si="0"/>
        <v>0</v>
      </c>
      <c r="O38" s="19">
        <f>SUM('MTRT 2006'!B34:M34)</f>
        <v>4346.17</v>
      </c>
      <c r="P38" s="22"/>
      <c r="Q38" s="267" t="s">
        <v>264</v>
      </c>
    </row>
    <row r="39" spans="1:17">
      <c r="A39" s="267" t="s">
        <v>244</v>
      </c>
      <c r="B39" s="19">
        <v>1224.25</v>
      </c>
      <c r="C39" s="19">
        <v>990.75</v>
      </c>
      <c r="D39" s="300">
        <v>1073.28</v>
      </c>
      <c r="E39" s="19">
        <v>1190.92</v>
      </c>
      <c r="F39" s="19">
        <v>1517.85</v>
      </c>
      <c r="G39" s="19">
        <v>1425.78</v>
      </c>
      <c r="H39" s="19">
        <v>1665.4</v>
      </c>
      <c r="I39" s="19">
        <v>3699.04</v>
      </c>
      <c r="J39" s="19">
        <v>2106.62</v>
      </c>
      <c r="K39" s="19">
        <v>2302.1</v>
      </c>
      <c r="L39" s="19">
        <v>4360.87</v>
      </c>
      <c r="M39" s="99">
        <v>1353.98</v>
      </c>
      <c r="N39" s="308">
        <f t="shared" si="0"/>
        <v>22910.839999999997</v>
      </c>
      <c r="O39" s="19">
        <f>SUM('MTRT 2006'!B35:M35)</f>
        <v>18021.310000000001</v>
      </c>
      <c r="P39" s="22">
        <f t="shared" si="1"/>
        <v>0.2713193435993273</v>
      </c>
      <c r="Q39" s="267" t="s">
        <v>244</v>
      </c>
    </row>
    <row r="40" spans="1:17">
      <c r="A40" s="267" t="s">
        <v>245</v>
      </c>
      <c r="B40" s="19">
        <v>6339.78</v>
      </c>
      <c r="C40" s="19">
        <v>2845.91</v>
      </c>
      <c r="D40" s="300">
        <v>6311.56</v>
      </c>
      <c r="E40" s="19">
        <v>295.18</v>
      </c>
      <c r="F40" s="19">
        <v>17795.38</v>
      </c>
      <c r="G40" s="19">
        <v>12160.56</v>
      </c>
      <c r="H40" s="19">
        <v>4202.67</v>
      </c>
      <c r="I40" s="19"/>
      <c r="J40" s="19">
        <v>5948.3</v>
      </c>
      <c r="K40" s="19">
        <v>9760.0400000000009</v>
      </c>
      <c r="L40" s="19"/>
      <c r="M40" s="99">
        <v>10064.93</v>
      </c>
      <c r="N40" s="308">
        <f>SUM(B40:M40)</f>
        <v>75724.31</v>
      </c>
      <c r="O40" s="19">
        <f>SUM('MTRT 2006'!B36:M36)</f>
        <v>31047.599999999999</v>
      </c>
      <c r="P40" s="22"/>
      <c r="Q40" s="267" t="s">
        <v>245</v>
      </c>
    </row>
    <row r="41" spans="1:17">
      <c r="A41" s="267" t="s">
        <v>171</v>
      </c>
      <c r="B41" s="108">
        <v>6623</v>
      </c>
      <c r="C41" s="108">
        <v>1001</v>
      </c>
      <c r="D41" s="108">
        <v>927</v>
      </c>
      <c r="E41" s="108">
        <v>4540</v>
      </c>
      <c r="F41" s="108">
        <v>3938</v>
      </c>
      <c r="G41" s="108">
        <v>1187</v>
      </c>
      <c r="H41" s="108">
        <v>9073</v>
      </c>
      <c r="I41" s="108">
        <v>1189</v>
      </c>
      <c r="J41" s="108">
        <v>1327</v>
      </c>
      <c r="K41" s="108">
        <v>10241</v>
      </c>
      <c r="L41" s="108">
        <v>1028</v>
      </c>
      <c r="M41" s="295">
        <v>7291</v>
      </c>
      <c r="N41" s="308">
        <f>SUM(B41:M41)</f>
        <v>48365</v>
      </c>
      <c r="O41" s="19">
        <f>SUM('MTRT 2006'!B37:M37)</f>
        <v>13456</v>
      </c>
      <c r="P41" s="22"/>
      <c r="Q41" s="267" t="s">
        <v>171</v>
      </c>
    </row>
    <row r="42" spans="1:17">
      <c r="A42" s="267" t="s">
        <v>169</v>
      </c>
      <c r="B42" s="19">
        <v>1303</v>
      </c>
      <c r="C42" s="19">
        <v>1261</v>
      </c>
      <c r="D42" s="300">
        <v>1664</v>
      </c>
      <c r="E42" s="19">
        <v>1357</v>
      </c>
      <c r="F42" s="19">
        <v>1492.73</v>
      </c>
      <c r="G42" s="19">
        <v>2557</v>
      </c>
      <c r="H42" s="19">
        <v>2534</v>
      </c>
      <c r="I42" s="19">
        <v>2849</v>
      </c>
      <c r="J42" s="19">
        <v>1868</v>
      </c>
      <c r="K42" s="19">
        <v>1702</v>
      </c>
      <c r="L42" s="19">
        <v>1073</v>
      </c>
      <c r="M42" s="99">
        <v>942</v>
      </c>
      <c r="N42" s="308">
        <f>SUM(B42:M42)</f>
        <v>20602.73</v>
      </c>
      <c r="O42" s="19">
        <f>SUM('MTRT 2006'!B38:M38)</f>
        <v>0</v>
      </c>
      <c r="P42" s="22"/>
      <c r="Q42" s="267" t="s">
        <v>169</v>
      </c>
    </row>
    <row r="43" spans="1:17">
      <c r="A43" s="301"/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3"/>
      <c r="N43" s="304"/>
      <c r="O43" s="302"/>
      <c r="P43" s="305"/>
      <c r="Q43" s="301"/>
    </row>
    <row r="44" spans="1:17" ht="13" thickBot="1">
      <c r="A44" s="275" t="s">
        <v>54</v>
      </c>
      <c r="B44" s="306">
        <f>SUM(B4:B42)</f>
        <v>97112.23000000001</v>
      </c>
      <c r="C44" s="306">
        <f>SUM(C4:C42)</f>
        <v>93404.96</v>
      </c>
      <c r="D44" s="306">
        <f t="shared" ref="D44:N44" si="2">SUM(D4:D42)</f>
        <v>80948.819999999992</v>
      </c>
      <c r="E44" s="306">
        <f t="shared" si="2"/>
        <v>95144.15</v>
      </c>
      <c r="F44" s="306">
        <f t="shared" si="2"/>
        <v>158087.52000000002</v>
      </c>
      <c r="G44" s="306">
        <f t="shared" si="2"/>
        <v>168311.70999999996</v>
      </c>
      <c r="H44" s="306">
        <f t="shared" si="2"/>
        <v>172637.97</v>
      </c>
      <c r="I44" s="306">
        <f t="shared" si="2"/>
        <v>241660.5</v>
      </c>
      <c r="J44" s="306">
        <f t="shared" si="2"/>
        <v>199760.39999999997</v>
      </c>
      <c r="K44" s="306">
        <f t="shared" si="2"/>
        <v>161441.56000000003</v>
      </c>
      <c r="L44" s="306">
        <f t="shared" si="2"/>
        <v>187538.93</v>
      </c>
      <c r="M44" s="306">
        <f t="shared" si="2"/>
        <v>142623.78100000002</v>
      </c>
      <c r="N44" s="306">
        <f t="shared" si="2"/>
        <v>1798672.5309999995</v>
      </c>
      <c r="O44" s="96">
        <f>SUM(O4:O43)</f>
        <v>1404654.74</v>
      </c>
      <c r="P44" s="309">
        <f t="shared" si="1"/>
        <v>0.28050864015167143</v>
      </c>
      <c r="Q44" s="275" t="s">
        <v>54</v>
      </c>
    </row>
    <row r="45" spans="1:17">
      <c r="A45" s="276" t="s">
        <v>265</v>
      </c>
      <c r="B45" s="277">
        <f>B44/'MTRT 2006'!B39-1</f>
        <v>0.13373703765319145</v>
      </c>
      <c r="C45" s="277">
        <f>C44/'MTRT 2006'!C39-1</f>
        <v>0.18190336314633804</v>
      </c>
      <c r="D45" s="277">
        <f>D44/'MTRT 2006'!D39-1</f>
        <v>8.3719379126176108E-2</v>
      </c>
      <c r="E45" s="277">
        <f>E44/'MTRT 2006'!E39-1</f>
        <v>0.18155031416392764</v>
      </c>
      <c r="F45" s="277">
        <f>F44/'MTRT 2006'!F39-1</f>
        <v>0.23196728210147666</v>
      </c>
      <c r="G45" s="277">
        <f>G44/'MTRT 2006'!G39-1</f>
        <v>0.28402268907825823</v>
      </c>
      <c r="H45" s="277">
        <f>H44/'MTRT 2006'!H39-1</f>
        <v>0.56865860666149826</v>
      </c>
      <c r="I45" s="277">
        <f>I44/'MTRT 2006'!I39-1</f>
        <v>0.28570297630631925</v>
      </c>
      <c r="J45" s="277">
        <f>J44/'MTRT 2006'!J39-1</f>
        <v>0.75072422310015274</v>
      </c>
      <c r="K45" s="277">
        <f>K44/'MTRT 2006'!K39-1</f>
        <v>0.35405346127829529</v>
      </c>
      <c r="L45" s="277">
        <f>L44/'MTRT 2006'!L39-1</f>
        <v>5.6350188450366323E-2</v>
      </c>
      <c r="M45" s="277">
        <f>M44/'MTRT 2006'!M39-1</f>
        <v>0.2245889166908368</v>
      </c>
      <c r="N45" s="277">
        <f>N44/'MTRT 2006'!N39-1</f>
        <v>0.28050864015167143</v>
      </c>
      <c r="O45" s="1"/>
      <c r="P45" s="1"/>
      <c r="Q45" s="261" t="s">
        <v>272</v>
      </c>
    </row>
    <row r="48" spans="1:17">
      <c r="K48" s="100"/>
    </row>
    <row r="49" spans="11:14">
      <c r="K49" s="100"/>
    </row>
    <row r="50" spans="11:14">
      <c r="N50" s="100"/>
    </row>
  </sheetData>
  <mergeCells count="1">
    <mergeCell ref="A1:P1"/>
  </mergeCells>
  <printOptions horizontalCentered="1"/>
  <pageMargins left="0" right="0" top="1" bottom="1" header="0.5" footer="0.5"/>
  <pageSetup scale="8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1"/>
    <pageSetUpPr fitToPage="1"/>
  </sheetPr>
  <dimension ref="A1:U84"/>
  <sheetViews>
    <sheetView workbookViewId="0">
      <selection activeCell="P43" sqref="P43"/>
    </sheetView>
  </sheetViews>
  <sheetFormatPr baseColWidth="10" defaultColWidth="8.83203125" defaultRowHeight="12" x14ac:dyDescent="0"/>
  <cols>
    <col min="2" max="3" width="8.6640625" bestFit="1" customWidth="1"/>
    <col min="9" max="9" width="8.6640625" bestFit="1" customWidth="1"/>
    <col min="14" max="14" width="9.33203125" customWidth="1"/>
    <col min="15" max="15" width="9.5" bestFit="1" customWidth="1"/>
    <col min="21" max="21" width="13.5" bestFit="1" customWidth="1"/>
  </cols>
  <sheetData>
    <row r="1" spans="1:17" ht="21">
      <c r="A1" s="691" t="s">
        <v>118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</row>
    <row r="2" spans="1:17" ht="13" thickBot="1">
      <c r="A2" s="47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3" thickBot="1">
      <c r="A3" s="155" t="s">
        <v>42</v>
      </c>
      <c r="B3" s="156" t="s">
        <v>2</v>
      </c>
      <c r="C3" s="157" t="s">
        <v>3</v>
      </c>
      <c r="D3" s="156" t="s">
        <v>4</v>
      </c>
      <c r="E3" s="156" t="s">
        <v>5</v>
      </c>
      <c r="F3" s="156" t="s">
        <v>6</v>
      </c>
      <c r="G3" s="156" t="s">
        <v>7</v>
      </c>
      <c r="H3" s="156" t="s">
        <v>8</v>
      </c>
      <c r="I3" s="156" t="s">
        <v>9</v>
      </c>
      <c r="J3" s="156" t="s">
        <v>10</v>
      </c>
      <c r="K3" s="156" t="s">
        <v>11</v>
      </c>
      <c r="L3" s="156" t="s">
        <v>12</v>
      </c>
      <c r="M3" s="158" t="s">
        <v>13</v>
      </c>
      <c r="N3" s="159" t="s">
        <v>119</v>
      </c>
      <c r="O3" s="156" t="s">
        <v>112</v>
      </c>
      <c r="P3" s="160" t="s">
        <v>16</v>
      </c>
      <c r="Q3" s="161" t="s">
        <v>58</v>
      </c>
    </row>
    <row r="4" spans="1:17">
      <c r="A4" s="92" t="s">
        <v>17</v>
      </c>
      <c r="B4" s="36">
        <f>'R 2012'!B4+'TRT 2012'!B4</f>
        <v>14956.29</v>
      </c>
      <c r="C4" s="36">
        <f>'R 2012'!C4+'TRT 2012'!C4</f>
        <v>25507.559999999998</v>
      </c>
      <c r="D4" s="36">
        <f>'R 2012'!D4+'TRT 2012'!D4</f>
        <v>13968.920000000002</v>
      </c>
      <c r="E4" s="36">
        <f>'R 2012'!E4+'TRT 2012'!E4</f>
        <v>8059.6200000000008</v>
      </c>
      <c r="F4" s="36">
        <f>'R 2012'!F4+'TRT 2012'!F4</f>
        <v>35179.979999999996</v>
      </c>
      <c r="G4" s="36">
        <f>'R 2012'!G4+'TRT 2012'!G4</f>
        <v>12306.130000000001</v>
      </c>
      <c r="H4" s="36">
        <f>'R 2012'!H4+'TRT 2012'!H4</f>
        <v>14964.380000000001</v>
      </c>
      <c r="I4" s="36">
        <f>'R 2012'!I4+'TRT 2012'!I4</f>
        <v>49157.93</v>
      </c>
      <c r="J4" s="36">
        <f>'R 2012'!J4+'TRT 2012'!J4</f>
        <v>23503.8</v>
      </c>
      <c r="K4" s="36">
        <f>'R 2012'!K4+'TRT 2012'!K4</f>
        <v>21289.11</v>
      </c>
      <c r="L4" s="36">
        <f>'R 2012'!L4+'TRT 2012'!L4</f>
        <v>48799.61</v>
      </c>
      <c r="M4" s="36">
        <f>'R 2012'!M4+'TRT 2012'!M4</f>
        <v>14925.349999999999</v>
      </c>
      <c r="N4" s="81">
        <f t="shared" ref="N4:N32" si="0">SUM(B4:M4)</f>
        <v>282618.67999999993</v>
      </c>
      <c r="O4" s="19">
        <f>SUM('TOTAL 2011'!B4:M4)</f>
        <v>280594.28000000003</v>
      </c>
      <c r="P4" s="84">
        <f t="shared" ref="P4:P33" si="1">N4/O4-1</f>
        <v>7.2146873414522528E-3</v>
      </c>
      <c r="Q4" s="22">
        <f t="shared" ref="Q4:Q33" si="2">N4/$N$33</f>
        <v>3.236237172336915E-3</v>
      </c>
    </row>
    <row r="5" spans="1:17">
      <c r="A5" s="92" t="s">
        <v>18</v>
      </c>
      <c r="B5" s="19">
        <f>'R 2012'!B5+'TRT 2012'!B5</f>
        <v>32943.699999999997</v>
      </c>
      <c r="C5" s="19">
        <f>'R 2012'!C5+'TRT 2012'!C5</f>
        <v>55239.680000000008</v>
      </c>
      <c r="D5" s="19">
        <f>'R 2012'!D5+'TRT 2012'!D5</f>
        <v>42130.5</v>
      </c>
      <c r="E5" s="19">
        <f>'R 2012'!E5+'TRT 2012'!E5</f>
        <v>34995.9</v>
      </c>
      <c r="F5" s="19">
        <f>'R 2012'!F5+'TRT 2012'!F5</f>
        <v>58596.19</v>
      </c>
      <c r="G5" s="19">
        <f>'R 2012'!G5+'TRT 2012'!G5</f>
        <v>37181.68</v>
      </c>
      <c r="H5" s="19">
        <f>'R 2012'!H5+'TRT 2012'!H5</f>
        <v>46358.32</v>
      </c>
      <c r="I5" s="19">
        <f>'R 2012'!I5+'TRT 2012'!I5</f>
        <v>85549.260000000009</v>
      </c>
      <c r="J5" s="19">
        <f>'R 2012'!J5+'TRT 2012'!J5</f>
        <v>46128.45</v>
      </c>
      <c r="K5" s="19">
        <f>'R 2012'!K5+'TRT 2012'!K5</f>
        <v>51941.96</v>
      </c>
      <c r="L5" s="19">
        <f>'R 2012'!L5+'TRT 2012'!L5</f>
        <v>87325.37</v>
      </c>
      <c r="M5" s="19">
        <f>'R 2012'!M5+'TRT 2012'!M5</f>
        <v>38652.46</v>
      </c>
      <c r="N5" s="81">
        <f t="shared" si="0"/>
        <v>617043.47</v>
      </c>
      <c r="O5" s="19">
        <f>SUM('TOTAL 2011'!B5:M5)</f>
        <v>602881.37599999993</v>
      </c>
      <c r="P5" s="84">
        <f t="shared" si="1"/>
        <v>2.3490680859911128E-2</v>
      </c>
      <c r="Q5" s="22">
        <f t="shared" si="2"/>
        <v>7.0657007334467715E-3</v>
      </c>
    </row>
    <row r="6" spans="1:17">
      <c r="A6" s="92" t="s">
        <v>19</v>
      </c>
      <c r="B6" s="19">
        <f>'R 2012'!B6+'TRT 2012'!B6</f>
        <v>117832.26999999999</v>
      </c>
      <c r="C6" s="19">
        <f>'R 2012'!C6+'TRT 2012'!C6</f>
        <v>144697.43</v>
      </c>
      <c r="D6" s="19">
        <f>'R 2012'!D6+'TRT 2012'!D6</f>
        <v>85385.760000000009</v>
      </c>
      <c r="E6" s="19">
        <f>'R 2012'!E6+'TRT 2012'!E6</f>
        <v>109208.06999999999</v>
      </c>
      <c r="F6" s="19">
        <f>'R 2012'!F6+'TRT 2012'!F6</f>
        <v>131612.19</v>
      </c>
      <c r="G6" s="19">
        <f>'R 2012'!G6+'TRT 2012'!G6</f>
        <v>116725.45999999999</v>
      </c>
      <c r="H6" s="19">
        <f>'R 2012'!H6+'TRT 2012'!H6</f>
        <v>110170.2</v>
      </c>
      <c r="I6" s="19">
        <f>'R 2012'!I6+'TRT 2012'!I6</f>
        <v>175181.63</v>
      </c>
      <c r="J6" s="19">
        <f>'R 2012'!J6+'TRT 2012'!J6</f>
        <v>110005.12</v>
      </c>
      <c r="K6" s="19">
        <f>'R 2012'!K6+'TRT 2012'!K6</f>
        <v>143683.15</v>
      </c>
      <c r="L6" s="19">
        <f>'R 2012'!L6+'TRT 2012'!L6</f>
        <v>145807.71</v>
      </c>
      <c r="M6" s="19">
        <f>'R 2012'!M6+'TRT 2012'!M6</f>
        <v>102624.84</v>
      </c>
      <c r="N6" s="81">
        <f t="shared" si="0"/>
        <v>1492933.8299999998</v>
      </c>
      <c r="O6" s="19">
        <f>SUM('TOTAL 2011'!B6:M6)</f>
        <v>1389935.43</v>
      </c>
      <c r="P6" s="84">
        <f t="shared" si="1"/>
        <v>7.4103010670071079E-2</v>
      </c>
      <c r="Q6" s="22">
        <f t="shared" si="2"/>
        <v>1.7095430339159893E-2</v>
      </c>
    </row>
    <row r="7" spans="1:17">
      <c r="A7" s="92" t="s">
        <v>20</v>
      </c>
      <c r="B7" s="19">
        <f>'R 2012'!B7+'TRT 2012'!B7</f>
        <v>35417.279999999999</v>
      </c>
      <c r="C7" s="19">
        <f>'R 2012'!C7+'TRT 2012'!C7</f>
        <v>50849.770000000004</v>
      </c>
      <c r="D7" s="19">
        <f>'R 2012'!D7+'TRT 2012'!D7</f>
        <v>35505.71</v>
      </c>
      <c r="E7" s="19">
        <f>'R 2012'!E7+'TRT 2012'!E7</f>
        <v>21025.34</v>
      </c>
      <c r="F7" s="19">
        <f>'R 2012'!F7+'TRT 2012'!F7</f>
        <v>50697.65</v>
      </c>
      <c r="G7" s="19">
        <f>'R 2012'!G7+'TRT 2012'!G7</f>
        <v>37572.369999999995</v>
      </c>
      <c r="H7" s="19">
        <f>'R 2012'!H7+'TRT 2012'!H7</f>
        <v>39125.160000000003</v>
      </c>
      <c r="I7" s="19">
        <f>'R 2012'!I7+'TRT 2012'!I7</f>
        <v>58554.28</v>
      </c>
      <c r="J7" s="19">
        <f>'R 2012'!J7+'TRT 2012'!J7</f>
        <v>44051.86</v>
      </c>
      <c r="K7" s="19">
        <f>'R 2012'!K7+'TRT 2012'!K7</f>
        <v>38404.28</v>
      </c>
      <c r="L7" s="19">
        <f>'R 2012'!L7+'TRT 2012'!L7</f>
        <v>47341.009999999995</v>
      </c>
      <c r="M7" s="19">
        <f>'R 2012'!M7+'TRT 2012'!M7</f>
        <v>39966.25</v>
      </c>
      <c r="N7" s="81">
        <f t="shared" si="0"/>
        <v>498510.96000000008</v>
      </c>
      <c r="O7" s="19">
        <f>SUM('TOTAL 2011'!B7:M7)</f>
        <v>508495.17999999993</v>
      </c>
      <c r="P7" s="84">
        <f t="shared" si="1"/>
        <v>-1.9634837049979259E-2</v>
      </c>
      <c r="Q7" s="22">
        <f t="shared" si="2"/>
        <v>5.708397263653491E-3</v>
      </c>
    </row>
    <row r="8" spans="1:17">
      <c r="A8" s="92" t="s">
        <v>21</v>
      </c>
      <c r="B8" s="19">
        <f>'R 2012'!B8+'TRT 2012'!B8</f>
        <v>2073.69</v>
      </c>
      <c r="C8" s="19">
        <f>'R 2012'!C8+'TRT 2012'!C8</f>
        <v>5022.66</v>
      </c>
      <c r="D8" s="19">
        <f>'R 2012'!D8+'TRT 2012'!D8</f>
        <v>479.2</v>
      </c>
      <c r="E8" s="19">
        <f>'R 2012'!E8+'TRT 2012'!E8</f>
        <v>1845.98</v>
      </c>
      <c r="F8" s="19">
        <f>'R 2012'!F8+'TRT 2012'!F8</f>
        <v>3245.16</v>
      </c>
      <c r="G8" s="19">
        <f>'R 2012'!G8+'TRT 2012'!G8</f>
        <v>4756.63</v>
      </c>
      <c r="H8" s="19">
        <f>'R 2012'!H8+'TRT 2012'!H8</f>
        <v>11024.92</v>
      </c>
      <c r="I8" s="19">
        <f>'R 2012'!I8+'TRT 2012'!I8</f>
        <v>15535.52</v>
      </c>
      <c r="J8" s="19">
        <f>'R 2012'!J8+'TRT 2012'!J8</f>
        <v>9171.32</v>
      </c>
      <c r="K8" s="19">
        <f>'R 2012'!K8+'TRT 2012'!K8</f>
        <v>12407.41</v>
      </c>
      <c r="L8" s="19">
        <f>'R 2012'!L8+'TRT 2012'!L8</f>
        <v>14344.080000000002</v>
      </c>
      <c r="M8" s="19">
        <f>'R 2012'!M8+'TRT 2012'!M8</f>
        <v>2842.58</v>
      </c>
      <c r="N8" s="81">
        <f t="shared" si="0"/>
        <v>82749.149999999994</v>
      </c>
      <c r="O8" s="19">
        <f>SUM('TOTAL 2011'!B8:M8)</f>
        <v>75044.09199999999</v>
      </c>
      <c r="P8" s="84">
        <f t="shared" si="1"/>
        <v>0.10267374545620478</v>
      </c>
      <c r="Q8" s="22">
        <f t="shared" si="2"/>
        <v>9.4755192830595374E-4</v>
      </c>
    </row>
    <row r="9" spans="1:17">
      <c r="A9" s="151" t="s">
        <v>22</v>
      </c>
      <c r="B9" s="19">
        <f>'R 2012'!B9+'CR 2012'!C4+'TRT 2012'!B9</f>
        <v>334652.63</v>
      </c>
      <c r="C9" s="19">
        <f>'R 2012'!C9+'CR 2012'!D4+'TRT 2012'!C9</f>
        <v>406921.94</v>
      </c>
      <c r="D9" s="19">
        <f>'R 2012'!D9+'CR 2012'!E4+'TRT 2012'!D9</f>
        <v>311640.72000000003</v>
      </c>
      <c r="E9" s="19">
        <f>'R 2012'!E9+'CR 2012'!F4+'TRT 2012'!E9</f>
        <v>314997.90000000002</v>
      </c>
      <c r="F9" s="19">
        <f>'R 2012'!F9+'CR 2012'!G4+'TRT 2012'!F9</f>
        <v>461575.25</v>
      </c>
      <c r="G9" s="19">
        <f>'R 2012'!G9+'CR 2012'!H4+'TRT 2012'!G9</f>
        <v>368243.56</v>
      </c>
      <c r="H9" s="19">
        <f>'R 2012'!H9+'CR 2012'!I4+'TRT 2012'!H9</f>
        <v>357555.66</v>
      </c>
      <c r="I9" s="19">
        <f>'R 2012'!I9+'CR 2012'!J4+'TRT 2012'!I9</f>
        <v>563043.68999999994</v>
      </c>
      <c r="J9" s="19">
        <f>'R 2012'!J9+'CR 2012'!K4+'TRT 2012'!J9</f>
        <v>365446.07</v>
      </c>
      <c r="K9" s="19">
        <f>'R 2012'!K9+'CR 2012'!L4+'TRT 2012'!K9</f>
        <v>484811.06000000006</v>
      </c>
      <c r="L9" s="19">
        <f>'R 2012'!L9+'CR 2012'!M4+'TRT 2012'!L9</f>
        <v>442215.66</v>
      </c>
      <c r="M9" s="19">
        <f>'R 2012'!M9+'CR 2012'!N4+'TRT 2012'!M9</f>
        <v>349470.38</v>
      </c>
      <c r="N9" s="81">
        <f t="shared" si="0"/>
        <v>4760574.5199999996</v>
      </c>
      <c r="O9" s="19">
        <f>SUM('TOTAL 2011'!B9:M9)</f>
        <v>4348780.3900000006</v>
      </c>
      <c r="P9" s="84">
        <f t="shared" si="1"/>
        <v>9.4691866010736536E-2</v>
      </c>
      <c r="Q9" s="22">
        <f t="shared" si="2"/>
        <v>5.4512844739434664E-2</v>
      </c>
    </row>
    <row r="10" spans="1:17">
      <c r="A10" s="151" t="s">
        <v>23</v>
      </c>
      <c r="B10" s="19">
        <f>'R 2012'!B10+'CR 2012'!C5+'TRT 2012'!B10</f>
        <v>16514.849999999999</v>
      </c>
      <c r="C10" s="19">
        <f>'R 2012'!C10+'CR 2012'!D5+'TRT 2012'!C10</f>
        <v>20841.22</v>
      </c>
      <c r="D10" s="19">
        <f>'R 2012'!D10+'CR 2012'!E5+'TRT 2012'!D10</f>
        <v>14932.61</v>
      </c>
      <c r="E10" s="19">
        <f>'R 2012'!E10+'CR 2012'!F5+'TRT 2012'!E10</f>
        <v>12305.11</v>
      </c>
      <c r="F10" s="19">
        <f>'R 2012'!F10+'CR 2012'!G5+'TRT 2012'!F10</f>
        <v>34159.089999999997</v>
      </c>
      <c r="G10" s="19">
        <f>'R 2012'!G10+'CR 2012'!H5+'TRT 2012'!G10</f>
        <v>16384.849999999999</v>
      </c>
      <c r="H10" s="19">
        <f>'R 2012'!H10+'CR 2012'!I5+'TRT 2012'!H10</f>
        <v>17335.099999999999</v>
      </c>
      <c r="I10" s="19">
        <f>'R 2012'!I10+'CR 2012'!J5+'TRT 2012'!I10</f>
        <v>34592.93</v>
      </c>
      <c r="J10" s="19">
        <f>'R 2012'!J10+'CR 2012'!K5+'TRT 2012'!J10</f>
        <v>13156.66</v>
      </c>
      <c r="K10" s="19">
        <f>'R 2012'!K10+'CR 2012'!L5+'TRT 2012'!K10</f>
        <v>26504.09</v>
      </c>
      <c r="L10" s="19">
        <f>'R 2012'!L10+'CR 2012'!M5+'TRT 2012'!L10</f>
        <v>36289.629999999997</v>
      </c>
      <c r="M10" s="19">
        <f>'R 2012'!M10+'CR 2012'!N5+'TRT 2012'!M10</f>
        <v>15808.57</v>
      </c>
      <c r="N10" s="81">
        <f t="shared" si="0"/>
        <v>258824.71000000002</v>
      </c>
      <c r="O10" s="19">
        <f>SUM('TOTAL 2011'!B10:M10)</f>
        <v>201560.16999999998</v>
      </c>
      <c r="P10" s="84">
        <f t="shared" si="1"/>
        <v>0.28410642836826372</v>
      </c>
      <c r="Q10" s="22">
        <f t="shared" si="2"/>
        <v>2.9637748913883622E-3</v>
      </c>
    </row>
    <row r="11" spans="1:17">
      <c r="A11" s="151" t="s">
        <v>51</v>
      </c>
      <c r="B11" s="19">
        <f>'R 2012'!B11+'TRT 2012'!B11</f>
        <v>13442.92</v>
      </c>
      <c r="C11" s="19">
        <f>'R 2012'!C11+'TRT 2012'!C11</f>
        <v>16987.72</v>
      </c>
      <c r="D11" s="19">
        <f>'R 2012'!D11+'TRT 2012'!D11</f>
        <v>5784.76</v>
      </c>
      <c r="E11" s="19">
        <f>'R 2012'!E11+'TRT 2012'!E11</f>
        <v>11837.79</v>
      </c>
      <c r="F11" s="19">
        <f>'R 2012'!F11+'TRT 2012'!F11</f>
        <v>24295.920000000002</v>
      </c>
      <c r="G11" s="19">
        <f>'R 2012'!G11+'TRT 2012'!G11</f>
        <v>29561.63</v>
      </c>
      <c r="H11" s="19">
        <f>'R 2012'!H11+'TRT 2012'!H11</f>
        <v>43292.19</v>
      </c>
      <c r="I11" s="19">
        <f>'R 2012'!I11+'TRT 2012'!I11</f>
        <v>55898.01</v>
      </c>
      <c r="J11" s="19">
        <f>'R 2012'!J11+'TRT 2012'!J11</f>
        <v>32264.25</v>
      </c>
      <c r="K11" s="19">
        <f>'R 2012'!K11+'TRT 2012'!K11</f>
        <v>44496.600000000006</v>
      </c>
      <c r="L11" s="19">
        <f>'R 2012'!L11+'TRT 2012'!L11</f>
        <v>42365.74</v>
      </c>
      <c r="M11" s="19">
        <f>'R 2012'!M11+'TRT 2012'!M11</f>
        <v>28641.399999999998</v>
      </c>
      <c r="N11" s="60">
        <f t="shared" si="0"/>
        <v>348868.93000000005</v>
      </c>
      <c r="O11" s="19">
        <f>SUM('TOTAL 2011'!B11:M11)</f>
        <v>305502.94</v>
      </c>
      <c r="P11" s="84">
        <f t="shared" si="1"/>
        <v>0.14194950136977424</v>
      </c>
      <c r="Q11" s="22">
        <f t="shared" si="2"/>
        <v>3.9948619091257718E-3</v>
      </c>
    </row>
    <row r="12" spans="1:17">
      <c r="A12" s="151" t="s">
        <v>24</v>
      </c>
      <c r="B12" s="19">
        <f>'R 2012'!B12+'TRT 2012'!B12</f>
        <v>15607.55</v>
      </c>
      <c r="C12" s="19">
        <f>'R 2012'!C12+'TRT 2012'!C12</f>
        <v>51013.740000000005</v>
      </c>
      <c r="D12" s="19">
        <f>'R 2012'!D12+'TRT 2012'!D12</f>
        <v>8126.32</v>
      </c>
      <c r="E12" s="19">
        <f>'R 2012'!E12+'TRT 2012'!E12</f>
        <v>19381.95</v>
      </c>
      <c r="F12" s="19">
        <f>'R 2012'!F12+'TRT 2012'!F12</f>
        <v>38646.86</v>
      </c>
      <c r="G12" s="19">
        <f>'R 2012'!G12+'TRT 2012'!G12</f>
        <v>89987.7</v>
      </c>
      <c r="H12" s="19">
        <f>'R 2012'!H12+'TRT 2012'!H12</f>
        <v>166419.53</v>
      </c>
      <c r="I12" s="19">
        <f>'R 2012'!I12+'TRT 2012'!I12</f>
        <v>196986.25</v>
      </c>
      <c r="J12" s="19">
        <f>'R 2012'!J12+'TRT 2012'!J12</f>
        <v>171237.19</v>
      </c>
      <c r="K12" s="19">
        <f>'R 2012'!K12+'TRT 2012'!K12</f>
        <v>198643.06</v>
      </c>
      <c r="L12" s="19">
        <f>'R 2012'!L12+'TRT 2012'!L12</f>
        <v>265114.87</v>
      </c>
      <c r="M12" s="19">
        <f>'R 2012'!M12+'TRT 2012'!M12</f>
        <v>122017.48999999999</v>
      </c>
      <c r="N12" s="81">
        <f t="shared" si="0"/>
        <v>1343182.51</v>
      </c>
      <c r="O12" s="19">
        <f>SUM('TOTAL 2011'!B12:M12)</f>
        <v>1340767.5699999998</v>
      </c>
      <c r="P12" s="84">
        <f t="shared" si="1"/>
        <v>1.8011622998908017E-3</v>
      </c>
      <c r="Q12" s="22">
        <f t="shared" si="2"/>
        <v>1.5380643516185134E-2</v>
      </c>
    </row>
    <row r="13" spans="1:17">
      <c r="A13" s="151" t="s">
        <v>25</v>
      </c>
      <c r="B13" s="19">
        <f>'R 2012'!B13+'CR 2012'!C6+'TRT 2012'!B13</f>
        <v>71262.510000000009</v>
      </c>
      <c r="C13" s="19">
        <f>'R 2012'!C13+'CR 2012'!D6+'TRT 2012'!C13</f>
        <v>68540.800000000003</v>
      </c>
      <c r="D13" s="19">
        <f>'R 2012'!D13+'CR 2012'!E6+'TRT 2012'!D13</f>
        <v>29324.159999999996</v>
      </c>
      <c r="E13" s="19">
        <f>'R 2012'!E13+'CR 2012'!F6+'TRT 2012'!E13</f>
        <v>61121.09</v>
      </c>
      <c r="F13" s="19">
        <f>'R 2012'!F13+'CR 2012'!G6+'TRT 2012'!F13</f>
        <v>198822.43</v>
      </c>
      <c r="G13" s="19">
        <f>'R 2012'!G13+'CR 2012'!H6+'TRT 2012'!G13</f>
        <v>206622.33000000002</v>
      </c>
      <c r="H13" s="19">
        <f>'R 2012'!H13+'CR 2012'!I6+'TRT 2012'!H13</f>
        <v>292974.56</v>
      </c>
      <c r="I13" s="19">
        <f>'R 2012'!I13+'CR 2012'!J6+'TRT 2012'!I13</f>
        <v>394588.86</v>
      </c>
      <c r="J13" s="19">
        <f>'R 2012'!J13+'CR 2012'!K6+'TRT 2012'!J13</f>
        <v>211677.11</v>
      </c>
      <c r="K13" s="19">
        <f>'R 2012'!K13+'CR 2012'!L6+'TRT 2012'!K13</f>
        <v>268206.13</v>
      </c>
      <c r="L13" s="19">
        <f>'R 2012'!L13+'CR 2012'!M6+'TRT 2012'!L13</f>
        <v>322963.64</v>
      </c>
      <c r="M13" s="19">
        <f>'R 2012'!M13+'CR 2012'!N6+'TRT 2012'!M13</f>
        <v>186624.44</v>
      </c>
      <c r="N13" s="81">
        <f t="shared" si="0"/>
        <v>2312728.06</v>
      </c>
      <c r="O13" s="19">
        <f>SUM('TOTAL 2011'!B13:M13)</f>
        <v>1984888.2000000002</v>
      </c>
      <c r="P13" s="84">
        <f t="shared" si="1"/>
        <v>0.16516792230413779</v>
      </c>
      <c r="Q13" s="22">
        <f t="shared" si="2"/>
        <v>2.6482808982331393E-2</v>
      </c>
    </row>
    <row r="14" spans="1:17">
      <c r="A14" s="151" t="s">
        <v>26</v>
      </c>
      <c r="B14" s="19">
        <f>'R 2012'!B14+'TRT 2012'!B14</f>
        <v>76581.459999999992</v>
      </c>
      <c r="C14" s="19">
        <f>'R 2012'!C14+'TRT 2012'!C14</f>
        <v>123933.42</v>
      </c>
      <c r="D14" s="19">
        <f>'R 2012'!D14+'TRT 2012'!D14</f>
        <v>68838.61</v>
      </c>
      <c r="E14" s="19">
        <f>'R 2012'!E14+'TRT 2012'!E14</f>
        <v>76437.7</v>
      </c>
      <c r="F14" s="19">
        <f>'R 2012'!F14+'TRT 2012'!F14</f>
        <v>139580.37</v>
      </c>
      <c r="G14" s="19">
        <f>'R 2012'!G14+'TRT 2012'!G14</f>
        <v>91154.37</v>
      </c>
      <c r="H14" s="19">
        <f>'R 2012'!H14+'TRT 2012'!H14</f>
        <v>80091.520000000004</v>
      </c>
      <c r="I14" s="19">
        <f>'R 2012'!I14+'TRT 2012'!I14</f>
        <v>202560.36</v>
      </c>
      <c r="J14" s="19">
        <f>'R 2012'!J14+'TRT 2012'!J14</f>
        <v>133305.70000000001</v>
      </c>
      <c r="K14" s="19">
        <f>'R 2012'!K14+'TRT 2012'!K14</f>
        <v>175872.09</v>
      </c>
      <c r="L14" s="19">
        <f>'R 2012'!L14+'TRT 2012'!L14</f>
        <v>157600.44</v>
      </c>
      <c r="M14" s="19">
        <f>'R 2012'!M14+'TRT 2012'!M14</f>
        <v>103952.69</v>
      </c>
      <c r="N14" s="81">
        <f t="shared" si="0"/>
        <v>1429908.73</v>
      </c>
      <c r="O14" s="19">
        <f>SUM('TOTAL 2011'!B14:M14)</f>
        <v>1344319.91</v>
      </c>
      <c r="P14" s="84">
        <f t="shared" si="1"/>
        <v>6.3667003191226978E-2</v>
      </c>
      <c r="Q14" s="22">
        <f t="shared" si="2"/>
        <v>1.6373736460290136E-2</v>
      </c>
    </row>
    <row r="15" spans="1:17">
      <c r="A15" s="151" t="s">
        <v>27</v>
      </c>
      <c r="B15" s="19">
        <f>'R 2012'!B15+'TRT 2012'!B15</f>
        <v>9484.27</v>
      </c>
      <c r="C15" s="19">
        <f>'R 2012'!C15+'TRT 2012'!C15</f>
        <v>17541.690000000002</v>
      </c>
      <c r="D15" s="19">
        <f>'R 2012'!D15+'TRT 2012'!D15</f>
        <v>7799.6</v>
      </c>
      <c r="E15" s="19">
        <f>'R 2012'!E15+'TRT 2012'!E15</f>
        <v>7319.3700000000008</v>
      </c>
      <c r="F15" s="19">
        <f>'R 2012'!F15+'TRT 2012'!F15</f>
        <v>17456.260000000002</v>
      </c>
      <c r="G15" s="19">
        <f>'R 2012'!G15+'TRT 2012'!G15</f>
        <v>8582.9399999999987</v>
      </c>
      <c r="H15" s="19">
        <f>'R 2012'!H15+'TRT 2012'!H15</f>
        <v>14828.23</v>
      </c>
      <c r="I15" s="19">
        <f>'R 2012'!I15+'TRT 2012'!I15</f>
        <v>31269.200000000001</v>
      </c>
      <c r="J15" s="19">
        <f>'R 2012'!J15+'TRT 2012'!J15</f>
        <v>9435.11</v>
      </c>
      <c r="K15" s="19">
        <f>'R 2012'!K15+'TRT 2012'!K15</f>
        <v>11784.07</v>
      </c>
      <c r="L15" s="19">
        <f>'R 2012'!L15+'TRT 2012'!L15</f>
        <v>26886.28</v>
      </c>
      <c r="M15" s="19">
        <f>'R 2012'!M15+'TRT 2012'!M15</f>
        <v>8468.49</v>
      </c>
      <c r="N15" s="81">
        <f t="shared" si="0"/>
        <v>170855.50999999998</v>
      </c>
      <c r="O15" s="19">
        <f>SUM('TOTAL 2011'!B15:M15)</f>
        <v>152977.91</v>
      </c>
      <c r="P15" s="84">
        <f t="shared" si="1"/>
        <v>0.11686393153102936</v>
      </c>
      <c r="Q15" s="22">
        <f t="shared" si="2"/>
        <v>1.9564487123093972E-3</v>
      </c>
    </row>
    <row r="16" spans="1:17">
      <c r="A16" s="151" t="s">
        <v>28</v>
      </c>
      <c r="B16" s="19">
        <f>'R 2012'!B16+'TRT 2012'!B16</f>
        <v>52825.1</v>
      </c>
      <c r="C16" s="19">
        <f>'R 2012'!C16+'TRT 2012'!C16</f>
        <v>47252.53</v>
      </c>
      <c r="D16" s="19">
        <f>'R 2012'!D16+'TRT 2012'!D16</f>
        <v>20657.38</v>
      </c>
      <c r="E16" s="19">
        <f>'R 2012'!E16+'TRT 2012'!E16</f>
        <v>30522.47</v>
      </c>
      <c r="F16" s="19">
        <f>'R 2012'!F16+'TRT 2012'!F16</f>
        <v>113264.38</v>
      </c>
      <c r="G16" s="19">
        <f>'R 2012'!G16+'TRT 2012'!G16</f>
        <v>204233.29</v>
      </c>
      <c r="H16" s="19">
        <f>'R 2012'!H16+'TRT 2012'!H16</f>
        <v>114120.01999999999</v>
      </c>
      <c r="I16" s="19">
        <f>'R 2012'!I16+'TRT 2012'!I16</f>
        <v>240014.43</v>
      </c>
      <c r="J16" s="19">
        <f>'R 2012'!J16+'TRT 2012'!J16</f>
        <v>160068.59</v>
      </c>
      <c r="K16" s="19">
        <f>'R 2012'!K16+'TRT 2012'!K16</f>
        <v>172349.15999999997</v>
      </c>
      <c r="L16" s="19">
        <f>'R 2012'!L16+'TRT 2012'!L16</f>
        <v>219778.3</v>
      </c>
      <c r="M16" s="19">
        <f>'R 2012'!M16+'TRT 2012'!M16</f>
        <v>114932.62999999999</v>
      </c>
      <c r="N16" s="81">
        <f t="shared" si="0"/>
        <v>1490018.28</v>
      </c>
      <c r="O16" s="19">
        <f>SUM('TOTAL 2011'!B16:M16)</f>
        <v>1242857.93</v>
      </c>
      <c r="P16" s="84">
        <f t="shared" si="1"/>
        <v>0.19886452347775596</v>
      </c>
      <c r="Q16" s="22">
        <f t="shared" si="2"/>
        <v>1.7062044678708126E-2</v>
      </c>
    </row>
    <row r="17" spans="1:21">
      <c r="A17" s="151" t="s">
        <v>52</v>
      </c>
      <c r="B17" s="19">
        <f>'TRT 2012'!B17</f>
        <v>6276.2</v>
      </c>
      <c r="C17" s="19">
        <f>'TRT 2012'!C17</f>
        <v>8015.09</v>
      </c>
      <c r="D17" s="19">
        <f>'TRT 2012'!D17</f>
        <v>5097.25</v>
      </c>
      <c r="E17" s="19">
        <f>'TRT 2012'!E17</f>
        <v>3477.52</v>
      </c>
      <c r="F17" s="19">
        <f>'TRT 2012'!F17</f>
        <v>8633.5</v>
      </c>
      <c r="G17" s="19">
        <f>'TRT 2012'!G17</f>
        <v>10208.120000000001</v>
      </c>
      <c r="H17" s="19">
        <f>'TRT 2012'!H17</f>
        <v>10571.76</v>
      </c>
      <c r="I17" s="19">
        <f>'TRT 2012'!I17</f>
        <v>21382.240000000002</v>
      </c>
      <c r="J17" s="19">
        <f>'TRT 2012'!J17</f>
        <v>6533.92</v>
      </c>
      <c r="K17" s="19">
        <f>'TRT 2012'!K17</f>
        <v>5881.33</v>
      </c>
      <c r="L17" s="19">
        <f>'TRT 2012'!L17</f>
        <v>18962.509999999998</v>
      </c>
      <c r="M17" s="19">
        <f>'TRT 2012'!M17</f>
        <v>4656.07</v>
      </c>
      <c r="N17" s="81">
        <f t="shared" si="0"/>
        <v>109695.51000000001</v>
      </c>
      <c r="O17" s="19">
        <f>SUM('TOTAL 2011'!B17:M17)</f>
        <v>117003.57</v>
      </c>
      <c r="P17" s="84">
        <f t="shared" si="1"/>
        <v>-6.2460145446844084E-2</v>
      </c>
      <c r="Q17" s="22">
        <f t="shared" si="2"/>
        <v>1.2561118999651966E-3</v>
      </c>
    </row>
    <row r="18" spans="1:21">
      <c r="A18" s="151" t="s">
        <v>29</v>
      </c>
      <c r="B18" s="19">
        <f>'R 2012'!B17+'CR 2012'!C7+'TRT 2012'!B18</f>
        <v>2990.0200000000004</v>
      </c>
      <c r="C18" s="19">
        <f>'R 2012'!C17+'CR 2012'!D7+'TRT 2012'!C18</f>
        <v>5276.99</v>
      </c>
      <c r="D18" s="19">
        <f>'R 2012'!D17+'CR 2012'!E7+'TRT 2012'!D18</f>
        <v>2167.69</v>
      </c>
      <c r="E18" s="19">
        <f>'R 2012'!E17+'CR 2012'!F7+'TRT 2012'!E18</f>
        <v>3991.58</v>
      </c>
      <c r="F18" s="19">
        <f>'R 2012'!F17+'CR 2012'!G7+'TRT 2012'!F18</f>
        <v>5382.5199999999995</v>
      </c>
      <c r="G18" s="19">
        <f>'R 2012'!G17+'CR 2012'!H7+'TRT 2012'!G18</f>
        <v>2976.37</v>
      </c>
      <c r="H18" s="19">
        <f>'R 2012'!H17+'CR 2012'!I7+'TRT 2012'!H18</f>
        <v>4034.5200000000004</v>
      </c>
      <c r="I18" s="19">
        <f>'R 2012'!I17+'CR 2012'!J7+'TRT 2012'!I18</f>
        <v>9792.81</v>
      </c>
      <c r="J18" s="19">
        <f>'R 2012'!J17+'CR 2012'!K7+'TRT 2012'!J18</f>
        <v>3717.84</v>
      </c>
      <c r="K18" s="19">
        <f>'R 2012'!K17+'CR 2012'!L7+'TRT 2012'!K18</f>
        <v>3623.6600000000003</v>
      </c>
      <c r="L18" s="19">
        <f>'R 2012'!L17+'CR 2012'!M7+'TRT 2012'!L18</f>
        <v>9796.9599999999991</v>
      </c>
      <c r="M18" s="19">
        <f>'R 2012'!M17+'CR 2012'!N7+'TRT 2012'!M18</f>
        <v>2270.77</v>
      </c>
      <c r="N18" s="81">
        <f t="shared" si="0"/>
        <v>56021.729999999996</v>
      </c>
      <c r="O18" s="19">
        <f>SUM('TOTAL 2011'!B18:M18)</f>
        <v>51039.950000000004</v>
      </c>
      <c r="P18" s="84">
        <f t="shared" si="1"/>
        <v>9.7605503140187011E-2</v>
      </c>
      <c r="Q18" s="22">
        <f t="shared" si="2"/>
        <v>6.4149901586343179E-4</v>
      </c>
    </row>
    <row r="19" spans="1:21">
      <c r="A19" s="151" t="s">
        <v>53</v>
      </c>
      <c r="B19" s="19">
        <f>'TRT 2012'!B19</f>
        <v>315.37</v>
      </c>
      <c r="C19" s="19">
        <f>'TRT 2012'!C19</f>
        <v>1132.1500000000001</v>
      </c>
      <c r="D19" s="19">
        <f>'TRT 2012'!D19</f>
        <v>123.54</v>
      </c>
      <c r="E19" s="19">
        <f>'TRT 2012'!E19</f>
        <v>233.46</v>
      </c>
      <c r="F19" s="19">
        <f>'TRT 2012'!F19</f>
        <v>416.02</v>
      </c>
      <c r="G19" s="19">
        <f>'TRT 2012'!G19</f>
        <v>273.02</v>
      </c>
      <c r="H19" s="19">
        <f>'TRT 2012'!H19</f>
        <v>587.76</v>
      </c>
      <c r="I19" s="19">
        <f>'TRT 2012'!I19</f>
        <v>5549.81</v>
      </c>
      <c r="J19" s="19">
        <f>'TRT 2012'!J19</f>
        <v>240.18</v>
      </c>
      <c r="K19" s="19">
        <f>'TRT 2012'!K19</f>
        <v>2410.88</v>
      </c>
      <c r="L19" s="19">
        <f>'TRT 2012'!L19</f>
        <v>6768.26</v>
      </c>
      <c r="M19" s="19">
        <f>'TRT 2012'!M19</f>
        <v>6.56</v>
      </c>
      <c r="N19" s="81">
        <f t="shared" si="0"/>
        <v>18057.010000000006</v>
      </c>
      <c r="O19" s="19">
        <f>SUM('TOTAL 2011'!B19:M19)</f>
        <v>14793.810000000001</v>
      </c>
      <c r="P19" s="84">
        <f t="shared" si="1"/>
        <v>0.22057874205495431</v>
      </c>
      <c r="Q19" s="22">
        <f t="shared" si="2"/>
        <v>2.067689474144435E-4</v>
      </c>
    </row>
    <row r="20" spans="1:21">
      <c r="A20" s="151" t="s">
        <v>30</v>
      </c>
      <c r="B20" s="19">
        <f>'R 2012'!B18+'TRT 2012'!B20</f>
        <v>12446.09</v>
      </c>
      <c r="C20" s="19">
        <f>'R 2012'!C18+'TRT 2012'!C20</f>
        <v>8891.16</v>
      </c>
      <c r="D20" s="19">
        <f>'R 2012'!D18+'TRT 2012'!D20</f>
        <v>407.07</v>
      </c>
      <c r="E20" s="19">
        <f>'R 2012'!E18+'TRT 2012'!E20</f>
        <v>1885.97</v>
      </c>
      <c r="F20" s="19">
        <f>'R 2012'!F18+'TRT 2012'!F20</f>
        <v>17706.36</v>
      </c>
      <c r="G20" s="19">
        <f>'R 2012'!G18+'TRT 2012'!G20</f>
        <v>3048.64</v>
      </c>
      <c r="H20" s="19">
        <f>'R 2012'!H18+'TRT 2012'!H20</f>
        <v>10509.199999999999</v>
      </c>
      <c r="I20" s="19">
        <f>'R 2012'!I18+'TRT 2012'!I20</f>
        <v>35025.9</v>
      </c>
      <c r="J20" s="19">
        <f>'R 2012'!J18+'TRT 2012'!J20</f>
        <v>17634.169999999998</v>
      </c>
      <c r="K20" s="19">
        <f>'R 2012'!K18+'TRT 2012'!K20</f>
        <v>24082.61</v>
      </c>
      <c r="L20" s="19">
        <f>'R 2012'!L18+'TRT 2012'!L20</f>
        <v>68324.94</v>
      </c>
      <c r="M20" s="19">
        <f>'R 2012'!M18+'TRT 2012'!M20</f>
        <v>2487.85</v>
      </c>
      <c r="N20" s="81">
        <f t="shared" si="0"/>
        <v>202449.96</v>
      </c>
      <c r="O20" s="19">
        <f>SUM('TOTAL 2011'!B20:M20)</f>
        <v>138622.46</v>
      </c>
      <c r="P20" s="84">
        <f t="shared" si="1"/>
        <v>0.46044125894173282</v>
      </c>
      <c r="Q20" s="22">
        <f t="shared" si="2"/>
        <v>2.3182334801440645E-3</v>
      </c>
    </row>
    <row r="21" spans="1:21">
      <c r="A21" s="151" t="s">
        <v>31</v>
      </c>
      <c r="B21" s="19">
        <f>'R 2012'!B19+'CR 2012'!C8+'TRT 2012'!B21</f>
        <v>2561464.7799999998</v>
      </c>
      <c r="C21" s="19">
        <f>'R 2012'!C19+'CR 2012'!D8+'TRT 2012'!C21</f>
        <v>3414079.9000000004</v>
      </c>
      <c r="D21" s="19">
        <f>'R 2012'!D19+'CR 2012'!E8+'TRT 2012'!D21</f>
        <v>3313783.33</v>
      </c>
      <c r="E21" s="19">
        <f>'R 2012'!E19+'CR 2012'!F8+'TRT 2012'!E21</f>
        <v>3379864.2</v>
      </c>
      <c r="F21" s="19">
        <f>'R 2012'!F19+'CR 2012'!G8+'TRT 2012'!F21</f>
        <v>4459830.7200000007</v>
      </c>
      <c r="G21" s="19">
        <f>'R 2012'!G19+'CR 2012'!H8+'TRT 2012'!G21</f>
        <v>3027004.4699999997</v>
      </c>
      <c r="H21" s="19">
        <f>'R 2012'!H19+'CR 2012'!I8+'TRT 2012'!H21</f>
        <v>2845232.33</v>
      </c>
      <c r="I21" s="19">
        <f>'R 2012'!I19+'CR 2012'!J8+'TRT 2012'!I21</f>
        <v>4006150.97</v>
      </c>
      <c r="J21" s="19">
        <f>'R 2012'!J19+'CR 2012'!K8+'TRT 2012'!J21</f>
        <v>3066076.65</v>
      </c>
      <c r="K21" s="19">
        <f>'R 2012'!K19+'CR 2012'!L8+'TRT 2012'!K21</f>
        <v>3760531.88</v>
      </c>
      <c r="L21" s="19">
        <f>'R 2012'!L19+'CR 2012'!M8+'TRT 2012'!L21</f>
        <v>3612142.9400000004</v>
      </c>
      <c r="M21" s="19">
        <f>'R 2012'!M19+'CR 2012'!N8+'TRT 2012'!M21</f>
        <v>3027111.34</v>
      </c>
      <c r="N21" s="81">
        <f t="shared" si="0"/>
        <v>40473273.50999999</v>
      </c>
      <c r="O21" s="19">
        <f>SUM('TOTAL 2011'!B21:M21)</f>
        <v>38432204.889999993</v>
      </c>
      <c r="P21" s="84">
        <f t="shared" si="1"/>
        <v>5.3108288370181E-2</v>
      </c>
      <c r="Q21" s="22">
        <f t="shared" si="2"/>
        <v>0.46345525433499646</v>
      </c>
    </row>
    <row r="22" spans="1:21">
      <c r="A22" s="151" t="s">
        <v>45</v>
      </c>
      <c r="B22" s="19">
        <f>'R 2012'!B20+'TRT 2012'!B22</f>
        <v>26139.09</v>
      </c>
      <c r="C22" s="19">
        <f>'R 2012'!C20+'TRT 2012'!C22</f>
        <v>23164.649999999998</v>
      </c>
      <c r="D22" s="19">
        <f>'R 2012'!D20+'TRT 2012'!D22</f>
        <v>12299.439999999999</v>
      </c>
      <c r="E22" s="19">
        <f>'R 2012'!E20+'TRT 2012'!E22</f>
        <v>26918.1</v>
      </c>
      <c r="F22" s="19">
        <f>'R 2012'!F20+'TRT 2012'!F22</f>
        <v>39119.14</v>
      </c>
      <c r="G22" s="19">
        <f>'R 2012'!G20+'TRT 2012'!G22</f>
        <v>43046.05</v>
      </c>
      <c r="H22" s="19">
        <f>'R 2012'!H20+'TRT 2012'!H22</f>
        <v>76035.509999999995</v>
      </c>
      <c r="I22" s="19">
        <f>'R 2012'!I20+'TRT 2012'!I22</f>
        <v>95269.510000000009</v>
      </c>
      <c r="J22" s="19">
        <f>'R 2012'!J20+'TRT 2012'!J22</f>
        <v>55684.69</v>
      </c>
      <c r="K22" s="19">
        <f>'R 2012'!K20+'TRT 2012'!K22</f>
        <v>84437.37</v>
      </c>
      <c r="L22" s="19">
        <f>'R 2012'!L20+'TRT 2012'!L22</f>
        <v>85614.45</v>
      </c>
      <c r="M22" s="19">
        <f>'R 2012'!M20+'TRT 2012'!M22</f>
        <v>51220.480000000003</v>
      </c>
      <c r="N22" s="81">
        <f t="shared" si="0"/>
        <v>618948.48</v>
      </c>
      <c r="O22" s="19">
        <f>SUM('TOTAL 2011'!B22:M22)</f>
        <v>542524.01</v>
      </c>
      <c r="P22" s="84">
        <f t="shared" si="1"/>
        <v>0.14086836451717577</v>
      </c>
      <c r="Q22" s="22">
        <f t="shared" si="2"/>
        <v>7.0875148052401632E-3</v>
      </c>
    </row>
    <row r="23" spans="1:21">
      <c r="A23" s="151" t="s">
        <v>32</v>
      </c>
      <c r="B23" s="19">
        <f>'R 2012'!B21+'TRT 2012'!B23</f>
        <v>9339.0499999999993</v>
      </c>
      <c r="C23" s="19">
        <f>'R 2012'!C21+'TRT 2012'!C23</f>
        <v>27976.82</v>
      </c>
      <c r="D23" s="19">
        <f>'R 2012'!D21+'TRT 2012'!D23</f>
        <v>5769.1</v>
      </c>
      <c r="E23" s="19">
        <f>'R 2012'!E21+'TRT 2012'!E23</f>
        <v>6118.7</v>
      </c>
      <c r="F23" s="19">
        <f>'R 2012'!F21+'TRT 2012'!F23</f>
        <v>26851.15</v>
      </c>
      <c r="G23" s="19">
        <f>'R 2012'!G21+'TRT 2012'!G23</f>
        <v>6523.87</v>
      </c>
      <c r="H23" s="19">
        <f>'R 2012'!H21+'TRT 2012'!H23</f>
        <v>6778.9</v>
      </c>
      <c r="I23" s="19">
        <f>'R 2012'!I21+'TRT 2012'!I23</f>
        <v>53890.080000000002</v>
      </c>
      <c r="J23" s="19">
        <f>'R 2012'!J21+'TRT 2012'!J23</f>
        <v>7249.45</v>
      </c>
      <c r="K23" s="19">
        <f>'R 2012'!K21+'TRT 2012'!K23</f>
        <v>15449.35</v>
      </c>
      <c r="L23" s="19">
        <f>'R 2012'!L21+'TRT 2012'!L23</f>
        <v>35431.760000000002</v>
      </c>
      <c r="M23" s="19">
        <f>'R 2012'!M21+'TRT 2012'!M23</f>
        <v>4442.5499999999993</v>
      </c>
      <c r="N23" s="81">
        <f t="shared" si="0"/>
        <v>205820.78</v>
      </c>
      <c r="O23" s="19">
        <f>SUM('TOTAL 2011'!B23:M23)</f>
        <v>174536.82</v>
      </c>
      <c r="P23" s="84">
        <f t="shared" si="1"/>
        <v>0.17923988760652332</v>
      </c>
      <c r="Q23" s="22">
        <f t="shared" si="2"/>
        <v>2.3568323901144057E-3</v>
      </c>
    </row>
    <row r="24" spans="1:21">
      <c r="A24" s="151" t="s">
        <v>33</v>
      </c>
      <c r="B24" s="19">
        <f>'R 2012'!B22+'CR 2012'!C9+'TRT 2012'!B24</f>
        <v>32263.47</v>
      </c>
      <c r="C24" s="19">
        <f>'R 2012'!C22+'CR 2012'!D9+'TRT 2012'!C24</f>
        <v>40710.46</v>
      </c>
      <c r="D24" s="19">
        <f>'R 2012'!D22+'CR 2012'!E9+'TRT 2012'!D24</f>
        <v>31710.690000000002</v>
      </c>
      <c r="E24" s="19">
        <f>'R 2012'!E22+'CR 2012'!F9+'TRT 2012'!E24</f>
        <v>30786.17</v>
      </c>
      <c r="F24" s="19">
        <f>'R 2012'!F22+'CR 2012'!G9+'TRT 2012'!F24</f>
        <v>54369.04</v>
      </c>
      <c r="G24" s="19">
        <f>'R 2012'!G22+'CR 2012'!H9+'TRT 2012'!G24</f>
        <v>39420.080000000002</v>
      </c>
      <c r="H24" s="19">
        <f>'R 2012'!H22+'CR 2012'!I9+'TRT 2012'!H24</f>
        <v>56951.09</v>
      </c>
      <c r="I24" s="19">
        <f>'R 2012'!I22+'CR 2012'!J9+'TRT 2012'!I24</f>
        <v>96511.03</v>
      </c>
      <c r="J24" s="19">
        <f>'R 2012'!J22+'CR 2012'!K9+'TRT 2012'!J24</f>
        <v>67452.62</v>
      </c>
      <c r="K24" s="19">
        <f>'R 2012'!K22+'CR 2012'!L9+'TRT 2012'!K24</f>
        <v>58332.229999999996</v>
      </c>
      <c r="L24" s="19">
        <f>'R 2012'!L22+'CR 2012'!M9+'TRT 2012'!L24</f>
        <v>88880.709999999992</v>
      </c>
      <c r="M24" s="19">
        <f>'R 2012'!M22+'CR 2012'!N9+'TRT 2012'!M24</f>
        <v>42992.45</v>
      </c>
      <c r="N24" s="81">
        <f t="shared" si="0"/>
        <v>640380.03999999992</v>
      </c>
      <c r="O24" s="19">
        <f>SUM('TOTAL 2011'!B24:M24)</f>
        <v>575752.29</v>
      </c>
      <c r="P24" s="84">
        <f t="shared" si="1"/>
        <v>0.11224922787541125</v>
      </c>
      <c r="Q24" s="22">
        <f t="shared" si="2"/>
        <v>7.3329253744678193E-3</v>
      </c>
    </row>
    <row r="25" spans="1:21">
      <c r="A25" s="151" t="s">
        <v>34</v>
      </c>
      <c r="B25" s="19">
        <f>'R 2012'!B23+'TRT 2012'!B25</f>
        <v>255409.7</v>
      </c>
      <c r="C25" s="19">
        <f>'R 2012'!C23+'TRT 2012'!C25</f>
        <v>991785.74</v>
      </c>
      <c r="D25" s="19">
        <f>'R 2012'!D23+'TRT 2012'!D25</f>
        <v>1284791.42</v>
      </c>
      <c r="E25" s="19">
        <f>'R 2012'!E23+'TRT 2012'!E25</f>
        <v>1277674.8800000001</v>
      </c>
      <c r="F25" s="19">
        <f>'R 2012'!F23+'TRT 2012'!F25</f>
        <v>1392008.08</v>
      </c>
      <c r="G25" s="19">
        <f>'R 2012'!G23+'TRT 2012'!G25</f>
        <v>305405.26</v>
      </c>
      <c r="H25" s="19">
        <f>'R 2012'!H23+'TRT 2012'!H25</f>
        <v>192940.34</v>
      </c>
      <c r="I25" s="19">
        <f>'R 2012'!I23+'TRT 2012'!I25</f>
        <v>418666.69</v>
      </c>
      <c r="J25" s="19">
        <f>'R 2012'!J23+'TRT 2012'!J25</f>
        <v>417875.25</v>
      </c>
      <c r="K25" s="19">
        <f>'R 2012'!K23+'TRT 2012'!K25</f>
        <v>465623.48000000004</v>
      </c>
      <c r="L25" s="19">
        <f>'R 2012'!L23+'TRT 2012'!L25</f>
        <v>418512.01</v>
      </c>
      <c r="M25" s="19">
        <f>'R 2012'!M23+'TRT 2012'!M25</f>
        <v>279339.3</v>
      </c>
      <c r="N25" s="81">
        <f t="shared" si="0"/>
        <v>7700032.1500000004</v>
      </c>
      <c r="O25" s="19">
        <f>SUM('TOTAL 2011'!B25:M25)</f>
        <v>6873752.4699999997</v>
      </c>
      <c r="P25" s="84">
        <f t="shared" si="1"/>
        <v>0.12020794807584934</v>
      </c>
      <c r="Q25" s="22">
        <f t="shared" si="2"/>
        <v>8.8172268981014781E-2</v>
      </c>
    </row>
    <row r="26" spans="1:21">
      <c r="A26" s="151" t="s">
        <v>35</v>
      </c>
      <c r="B26" s="19">
        <f>'R 2012'!B24+'TRT 2012'!B26</f>
        <v>50549.31</v>
      </c>
      <c r="C26" s="19">
        <f>'R 2012'!C24+'TRT 2012'!C26</f>
        <v>59850.92</v>
      </c>
      <c r="D26" s="19">
        <f>'R 2012'!D24+'TRT 2012'!D26</f>
        <v>47352.15</v>
      </c>
      <c r="E26" s="19">
        <f>'R 2012'!E24+'TRT 2012'!E26</f>
        <v>38731.020000000004</v>
      </c>
      <c r="F26" s="19">
        <f>'R 2012'!F24+'TRT 2012'!F26</f>
        <v>73862.430000000008</v>
      </c>
      <c r="G26" s="19">
        <f>'R 2012'!G24+'TRT 2012'!G26</f>
        <v>59364.24</v>
      </c>
      <c r="H26" s="19">
        <f>'R 2012'!H24+'TRT 2012'!H26</f>
        <v>52515.42</v>
      </c>
      <c r="I26" s="19">
        <f>'R 2012'!I24+'TRT 2012'!I26</f>
        <v>95651.7</v>
      </c>
      <c r="J26" s="19">
        <f>'R 2012'!J24+'TRT 2012'!J26</f>
        <v>49359.270000000004</v>
      </c>
      <c r="K26" s="19">
        <f>'R 2012'!K24+'TRT 2012'!K26</f>
        <v>73391.45</v>
      </c>
      <c r="L26" s="19">
        <f>'R 2012'!L24+'TRT 2012'!L26</f>
        <v>80187.97</v>
      </c>
      <c r="M26" s="19">
        <f>'R 2012'!M24+'TRT 2012'!M26</f>
        <v>61112.41</v>
      </c>
      <c r="N26" s="81">
        <f t="shared" si="0"/>
        <v>741928.28999999992</v>
      </c>
      <c r="O26" s="19">
        <f>SUM('TOTAL 2011'!B26:M26)</f>
        <v>691099.45000000007</v>
      </c>
      <c r="P26" s="84">
        <f t="shared" si="1"/>
        <v>7.3547794025881297E-2</v>
      </c>
      <c r="Q26" s="22">
        <f t="shared" si="2"/>
        <v>8.4957438457584009E-3</v>
      </c>
    </row>
    <row r="27" spans="1:21" s="154" customFormat="1">
      <c r="A27" s="151" t="s">
        <v>36</v>
      </c>
      <c r="B27" s="111">
        <f>'R 2012'!B25+'CR 2012'!C10+'TRT 2012'!B27</f>
        <v>71820.13</v>
      </c>
      <c r="C27" s="111">
        <f>'R 2012'!C25+'CR 2012'!D10+'TRT 2012'!C27</f>
        <v>93134.37</v>
      </c>
      <c r="D27" s="111">
        <f>'R 2012'!D25+'CR 2012'!E10+'TRT 2012'!D27</f>
        <v>83101.700000000012</v>
      </c>
      <c r="E27" s="111">
        <f>'R 2012'!E25+'CR 2012'!F10+'TRT 2012'!E27</f>
        <v>70149.850000000006</v>
      </c>
      <c r="F27" s="111">
        <f>'R 2012'!F25+'CR 2012'!G10+'TRT 2012'!F27</f>
        <v>104070.35</v>
      </c>
      <c r="G27" s="111">
        <f>'R 2012'!G25+'CR 2012'!H10+'TRT 2012'!G27</f>
        <v>114567.96</v>
      </c>
      <c r="H27" s="111">
        <f>'R 2012'!H25+'CR 2012'!I10+'TRT 2012'!H27</f>
        <v>113510.31</v>
      </c>
      <c r="I27" s="111">
        <f>'R 2012'!I25+'CR 2012'!J10+'TRT 2012'!I27</f>
        <v>176280.34</v>
      </c>
      <c r="J27" s="111">
        <f>'R 2012'!J25+'CR 2012'!K10+'TRT 2012'!J27</f>
        <v>107515.98</v>
      </c>
      <c r="K27" s="111">
        <f>'R 2012'!K25+'CR 2012'!L10+'TRT 2012'!K27</f>
        <v>148459.54</v>
      </c>
      <c r="L27" s="111">
        <f>'R 2012'!L25+'CR 2012'!M10+'TRT 2012'!L27</f>
        <v>119471.29999999999</v>
      </c>
      <c r="M27" s="111">
        <f>'R 2012'!M25+'CR 2012'!N10+'TRT 2012'!M27</f>
        <v>118567.12</v>
      </c>
      <c r="N27" s="81">
        <f t="shared" si="0"/>
        <v>1320648.9499999997</v>
      </c>
      <c r="O27" s="19">
        <f>SUM('TOTAL 2011'!B27:M27)</f>
        <v>975562.4800000001</v>
      </c>
      <c r="P27" s="152">
        <f t="shared" si="1"/>
        <v>0.35373077283578969</v>
      </c>
      <c r="Q27" s="153">
        <f t="shared" si="2"/>
        <v>1.512261405933152E-2</v>
      </c>
    </row>
    <row r="28" spans="1:21">
      <c r="A28" s="151" t="s">
        <v>37</v>
      </c>
      <c r="B28" s="19">
        <f>'R 2012'!B26+'CR 2012'!C11+'TRT 2012'!B28</f>
        <v>560312.30000000005</v>
      </c>
      <c r="C28" s="19">
        <f>'R 2012'!C26+'CR 2012'!D11+'TRT 2012'!C28</f>
        <v>738326.18</v>
      </c>
      <c r="D28" s="19">
        <f>'R 2012'!D26+'CR 2012'!E11+'TRT 2012'!D28</f>
        <v>546283.35</v>
      </c>
      <c r="E28" s="19">
        <f>'R 2012'!E26+'CR 2012'!F11+'TRT 2012'!E28</f>
        <v>534408.22</v>
      </c>
      <c r="F28" s="19">
        <f>'R 2012'!F26+'CR 2012'!G11+'TRT 2012'!F28</f>
        <v>796904.24</v>
      </c>
      <c r="G28" s="19">
        <f>'R 2012'!G26+'CR 2012'!H11+'TRT 2012'!G28</f>
        <v>584892.02</v>
      </c>
      <c r="H28" s="19">
        <f>'R 2012'!H26+'CR 2012'!I11+'TRT 2012'!H28</f>
        <v>585188.24</v>
      </c>
      <c r="I28" s="19">
        <f>'R 2012'!I26+'CR 2012'!J11+'TRT 2012'!I28</f>
        <v>916033.91</v>
      </c>
      <c r="J28" s="19">
        <f>'R 2012'!J26+'CR 2012'!K11+'TRT 2012'!J28</f>
        <v>644220.76</v>
      </c>
      <c r="K28" s="19">
        <f>'R 2012'!K26+'CR 2012'!L11+'TRT 2012'!K28</f>
        <v>803337.1</v>
      </c>
      <c r="L28" s="19">
        <f>'R 2012'!L26+'CR 2012'!M11+'TRT 2012'!L28</f>
        <v>829685.51</v>
      </c>
      <c r="M28" s="19">
        <f>'R 2012'!M26+'CR 2012'!N11+'TRT 2012'!M28</f>
        <v>616989.28</v>
      </c>
      <c r="N28" s="81">
        <f t="shared" si="0"/>
        <v>8156581.1099999994</v>
      </c>
      <c r="O28" s="19">
        <f>SUM('TOTAL 2011'!B28:M28)</f>
        <v>7245225.9600000009</v>
      </c>
      <c r="P28" s="84">
        <f t="shared" si="1"/>
        <v>0.12578698787746267</v>
      </c>
      <c r="Q28" s="22">
        <f t="shared" si="2"/>
        <v>9.3400163737807781E-2</v>
      </c>
      <c r="U28" s="154"/>
    </row>
    <row r="29" spans="1:21">
      <c r="A29" s="151" t="s">
        <v>38</v>
      </c>
      <c r="B29" s="19">
        <f>'R 2012'!B27+'TRT 2012'!B29</f>
        <v>162425.21000000002</v>
      </c>
      <c r="C29" s="19">
        <f>'R 2012'!C27+'TRT 2012'!C29</f>
        <v>168377.38</v>
      </c>
      <c r="D29" s="19">
        <f>'R 2012'!D27+'TRT 2012'!D29</f>
        <v>169900.18000000002</v>
      </c>
      <c r="E29" s="19">
        <f>'R 2012'!E27+'TRT 2012'!E29</f>
        <v>79788.760000000009</v>
      </c>
      <c r="F29" s="19">
        <f>'R 2012'!F27+'TRT 2012'!F29</f>
        <v>213484.61</v>
      </c>
      <c r="G29" s="19">
        <f>'R 2012'!G27+'TRT 2012'!G29</f>
        <v>86383.78</v>
      </c>
      <c r="H29" s="19">
        <f>'R 2012'!H27+'TRT 2012'!H29</f>
        <v>98415.7</v>
      </c>
      <c r="I29" s="19">
        <f>'R 2012'!I27+'TRT 2012'!I29</f>
        <v>155879.58000000002</v>
      </c>
      <c r="J29" s="19">
        <f>'R 2012'!J27+'TRT 2012'!J29</f>
        <v>115342.51999999999</v>
      </c>
      <c r="K29" s="19">
        <f>'R 2012'!K27+'TRT 2012'!K29</f>
        <v>115644.74</v>
      </c>
      <c r="L29" s="19">
        <f>'R 2012'!L27+'TRT 2012'!L29</f>
        <v>110302.97</v>
      </c>
      <c r="M29" s="19">
        <f>'R 2012'!M27+'TRT 2012'!M29</f>
        <v>63742.34</v>
      </c>
      <c r="N29" s="81">
        <f t="shared" si="0"/>
        <v>1539687.77</v>
      </c>
      <c r="O29" s="19">
        <f>SUM('TOTAL 2011'!B29:M29)</f>
        <v>1456757.1600000001</v>
      </c>
      <c r="P29" s="84">
        <f t="shared" si="1"/>
        <v>5.692823229370636E-2</v>
      </c>
      <c r="Q29" s="22">
        <f t="shared" si="2"/>
        <v>1.7630804853615945E-2</v>
      </c>
      <c r="U29" s="154"/>
    </row>
    <row r="30" spans="1:21">
      <c r="A30" s="92" t="s">
        <v>39</v>
      </c>
      <c r="B30" s="19">
        <f>'R 2012'!B28+'CR 2012'!C12+'TRT 2012'!B30</f>
        <v>354174.69999999995</v>
      </c>
      <c r="C30" s="19">
        <f>'R 2012'!C28+'CR 2012'!D12+'TRT 2012'!C30</f>
        <v>395036.49</v>
      </c>
      <c r="D30" s="19">
        <f>'R 2012'!D28+'CR 2012'!E12+'TRT 2012'!D30</f>
        <v>283439.76</v>
      </c>
      <c r="E30" s="19">
        <f>'R 2012'!E28+'CR 2012'!F12+'TRT 2012'!E30</f>
        <v>378008.24</v>
      </c>
      <c r="F30" s="19">
        <f>'R 2012'!F28+'CR 2012'!G12+'TRT 2012'!F30</f>
        <v>649507.6</v>
      </c>
      <c r="G30" s="19">
        <f>'R 2012'!G28+'CR 2012'!H12+'TRT 2012'!G30</f>
        <v>529947.78</v>
      </c>
      <c r="H30" s="19">
        <f>'R 2012'!H28+'CR 2012'!I12+'TRT 2012'!H30</f>
        <v>574118.75</v>
      </c>
      <c r="I30" s="19">
        <f>'R 2012'!I28+'CR 2012'!J12+'TRT 2012'!I30</f>
        <v>825015.3</v>
      </c>
      <c r="J30" s="19">
        <f>'R 2012'!J28+'CR 2012'!K12+'TRT 2012'!J30</f>
        <v>458138.08999999997</v>
      </c>
      <c r="K30" s="19">
        <f>'R 2012'!K28+'CR 2012'!L12+'TRT 2012'!K30</f>
        <v>579397.17999999993</v>
      </c>
      <c r="L30" s="19">
        <f>'R 2012'!L28+'CR 2012'!M12+'TRT 2012'!L30</f>
        <v>667051.84</v>
      </c>
      <c r="M30" s="19">
        <f>'R 2012'!M28+'CR 2012'!N12+'TRT 2012'!M30</f>
        <v>543676.34000000008</v>
      </c>
      <c r="N30" s="81">
        <f t="shared" si="0"/>
        <v>6237512.0699999994</v>
      </c>
      <c r="O30" s="19">
        <f>SUM('TOTAL 2011'!B30:M30)</f>
        <v>5607784.4500000002</v>
      </c>
      <c r="P30" s="84">
        <f t="shared" si="1"/>
        <v>0.11229526127738354</v>
      </c>
      <c r="Q30" s="22">
        <f t="shared" si="2"/>
        <v>7.1425103336531681E-2</v>
      </c>
      <c r="U30" s="154"/>
    </row>
    <row r="31" spans="1:21">
      <c r="A31" s="92" t="s">
        <v>40</v>
      </c>
      <c r="B31" s="19">
        <f>'R 2012'!B29+'TRT 2012'!B31</f>
        <v>8671.34</v>
      </c>
      <c r="C31" s="19">
        <f>'R 2012'!C29+'TRT 2012'!C31</f>
        <v>13769.17</v>
      </c>
      <c r="D31" s="19">
        <f>'R 2012'!D29+'TRT 2012'!D31</f>
        <v>1926.6100000000001</v>
      </c>
      <c r="E31" s="19">
        <f>'R 2012'!E29+'TRT 2012'!E31</f>
        <v>4208.92</v>
      </c>
      <c r="F31" s="19">
        <f>'R 2012'!F29+'TRT 2012'!F31</f>
        <v>12348.8</v>
      </c>
      <c r="G31" s="19">
        <f>'R 2012'!G29+'TRT 2012'!G31</f>
        <v>24189.219999999998</v>
      </c>
      <c r="H31" s="19">
        <f>'R 2012'!H29+'TRT 2012'!H31</f>
        <v>16124.57</v>
      </c>
      <c r="I31" s="19">
        <f>'R 2012'!I29+'TRT 2012'!I31</f>
        <v>88433.84</v>
      </c>
      <c r="J31" s="19">
        <f>'R 2012'!J29+'TRT 2012'!J31</f>
        <v>19977.879999999997</v>
      </c>
      <c r="K31" s="19">
        <f>'R 2012'!K29+'TRT 2012'!K31</f>
        <v>26385.089999999997</v>
      </c>
      <c r="L31" s="19">
        <f>'R 2012'!L29+'TRT 2012'!L31</f>
        <v>58848.840000000004</v>
      </c>
      <c r="M31" s="19">
        <f>'R 2012'!M29+'TRT 2012'!M31</f>
        <v>11403.970000000001</v>
      </c>
      <c r="N31" s="81">
        <f t="shared" si="0"/>
        <v>286288.25</v>
      </c>
      <c r="O31" s="19">
        <f>SUM('TOTAL 2011'!B31:M31)</f>
        <v>258915.55000000002</v>
      </c>
      <c r="P31" s="84">
        <f t="shared" si="1"/>
        <v>0.10572057182351546</v>
      </c>
      <c r="Q31" s="22">
        <f t="shared" si="2"/>
        <v>3.2782570375506814E-3</v>
      </c>
    </row>
    <row r="32" spans="1:21" ht="13" thickBot="1">
      <c r="A32" s="93" t="s">
        <v>41</v>
      </c>
      <c r="B32" s="20">
        <f>'R 2012'!B30+'CR 2012'!C13+'TRT 2012'!B32</f>
        <v>305804.48</v>
      </c>
      <c r="C32" s="20">
        <f>'R 2012'!C30+'CR 2012'!D13+'TRT 2012'!C32</f>
        <v>337968.04999999993</v>
      </c>
      <c r="D32" s="20">
        <f>'R 2012'!D30+'CR 2012'!E13+'TRT 2012'!D32</f>
        <v>186000.22999999998</v>
      </c>
      <c r="E32" s="20">
        <f>'R 2012'!E30+'CR 2012'!F13+'TRT 2012'!E32</f>
        <v>288602.56</v>
      </c>
      <c r="F32" s="20">
        <f>'R 2012'!F30+'CR 2012'!G13+'TRT 2012'!F32</f>
        <v>445408.18</v>
      </c>
      <c r="G32" s="20">
        <f>'R 2012'!G30+'CR 2012'!H13+'TRT 2012'!G32</f>
        <v>271397.51</v>
      </c>
      <c r="H32" s="20">
        <f>'R 2012'!H30+'CR 2012'!I13+'TRT 2012'!H32</f>
        <v>297140.71999999997</v>
      </c>
      <c r="I32" s="20">
        <f>'R 2012'!I30+'CR 2012'!J13+'TRT 2012'!I32</f>
        <v>465401.06</v>
      </c>
      <c r="J32" s="20">
        <f>'R 2012'!J30+'CR 2012'!K13+'TRT 2012'!J32</f>
        <v>262358.02</v>
      </c>
      <c r="K32" s="20">
        <f>'R 2012'!K30+'CR 2012'!L13+'TRT 2012'!K32</f>
        <v>362962.69</v>
      </c>
      <c r="L32" s="20">
        <f>'R 2012'!L30+'CR 2012'!M13+'TRT 2012'!L32</f>
        <v>429193.05999999994</v>
      </c>
      <c r="M32" s="20">
        <f>'R 2012'!M30+'CR 2012'!N13+'TRT 2012'!M32</f>
        <v>281029.59999999998</v>
      </c>
      <c r="N32" s="82">
        <f t="shared" si="0"/>
        <v>3933266.1599999997</v>
      </c>
      <c r="O32" s="19">
        <f>SUM('TOTAL 2011'!B32:M32)</f>
        <v>3762371.42</v>
      </c>
      <c r="P32" s="85">
        <f t="shared" si="1"/>
        <v>4.5422081161779593E-2</v>
      </c>
      <c r="Q32" s="21">
        <f t="shared" si="2"/>
        <v>4.5039422573507445E-2</v>
      </c>
    </row>
    <row r="33" spans="1:21" ht="14" thickTop="1" thickBot="1">
      <c r="A33" s="162" t="s">
        <v>54</v>
      </c>
      <c r="B33" s="163">
        <f t="shared" ref="B33:O33" si="3">SUM(B4:B32)</f>
        <v>5213995.76</v>
      </c>
      <c r="C33" s="164">
        <f t="shared" si="3"/>
        <v>7361845.6800000006</v>
      </c>
      <c r="D33" s="163">
        <f t="shared" si="3"/>
        <v>6618727.7599999998</v>
      </c>
      <c r="E33" s="163">
        <f t="shared" si="3"/>
        <v>6833906.4399999985</v>
      </c>
      <c r="F33" s="163">
        <f t="shared" si="3"/>
        <v>9607034.4700000007</v>
      </c>
      <c r="G33" s="163">
        <f t="shared" si="3"/>
        <v>6331961.3299999991</v>
      </c>
      <c r="H33" s="165">
        <f t="shared" si="3"/>
        <v>6248914.9100000001</v>
      </c>
      <c r="I33" s="163">
        <f t="shared" si="3"/>
        <v>9567867.120000001</v>
      </c>
      <c r="J33" s="163">
        <f t="shared" si="3"/>
        <v>6628828.5199999996</v>
      </c>
      <c r="K33" s="163">
        <f t="shared" si="3"/>
        <v>8180342.7500000009</v>
      </c>
      <c r="L33" s="163">
        <f t="shared" si="3"/>
        <v>8496008.3699999992</v>
      </c>
      <c r="M33" s="166">
        <f t="shared" si="3"/>
        <v>6239976</v>
      </c>
      <c r="N33" s="167">
        <f t="shared" si="3"/>
        <v>87329409.10999997</v>
      </c>
      <c r="O33" s="168">
        <f t="shared" si="3"/>
        <v>80696552.117999986</v>
      </c>
      <c r="P33" s="169">
        <f t="shared" si="1"/>
        <v>8.2195048213472344E-2</v>
      </c>
      <c r="Q33" s="170">
        <f t="shared" si="2"/>
        <v>1</v>
      </c>
      <c r="U33" s="219"/>
    </row>
    <row r="34" spans="1:21">
      <c r="B34" s="28">
        <f>B33/'TOTAL 2011'!B33-1</f>
        <v>0.22006122574533982</v>
      </c>
      <c r="C34" s="28">
        <f>C33/'TOTAL 2011'!C33-1</f>
        <v>0.14176498699156248</v>
      </c>
      <c r="D34" s="28">
        <f>D33/'TOTAL 2011'!D33-1</f>
        <v>-9.2178163364530219E-3</v>
      </c>
      <c r="E34" s="28">
        <f>E33/'TOTAL 2011'!E33-1</f>
        <v>3.5658584529909776E-2</v>
      </c>
      <c r="F34" s="28">
        <f>F33/'TOTAL 2011'!F33-1</f>
        <v>0.13417556307937195</v>
      </c>
      <c r="G34" s="28">
        <f>G33/'TOTAL 2011'!G33-1</f>
        <v>-6.9473884669171926E-2</v>
      </c>
      <c r="H34" s="28">
        <f>H33/'TOTAL 2011'!H33-1</f>
        <v>0.1877678052287306</v>
      </c>
      <c r="I34" s="28">
        <f>I33/'TOTAL 2011'!I33-1</f>
        <v>0.14187334365945858</v>
      </c>
      <c r="J34" s="28">
        <f>J33/'TOTAL 2011'!J33-1</f>
        <v>4.7858682852708778E-2</v>
      </c>
      <c r="K34" s="28">
        <f>K33/'TOTAL 2011'!K33-1</f>
        <v>0.10965615917588867</v>
      </c>
      <c r="L34" s="28">
        <f>L33/'TOTAL 2011'!L33-1</f>
        <v>3.8053767371434066E-2</v>
      </c>
      <c r="M34" s="28">
        <f>M33/'TOTAL 2011'!M33-1</f>
        <v>5.7918158014176768E-2</v>
      </c>
      <c r="N34" s="28"/>
    </row>
    <row r="36" spans="1:21">
      <c r="I36" s="116"/>
    </row>
    <row r="37" spans="1:21">
      <c r="I37" s="116"/>
      <c r="J37" s="121"/>
    </row>
    <row r="38" spans="1:21">
      <c r="I38" s="116"/>
      <c r="J38" s="121"/>
    </row>
    <row r="39" spans="1:21">
      <c r="I39" s="116"/>
    </row>
    <row r="40" spans="1:21">
      <c r="I40" s="116"/>
    </row>
    <row r="41" spans="1:21">
      <c r="I41" s="116"/>
    </row>
    <row r="84" spans="16:16" ht="13" thickBot="1">
      <c r="P84" s="169"/>
    </row>
  </sheetData>
  <mergeCells count="1">
    <mergeCell ref="A1:Q1"/>
  </mergeCells>
  <pageMargins left="0.25" right="0.25" top="1" bottom="1" header="0.5" footer="0.5"/>
  <pageSetup scale="88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 enableFormatConditionsCalculation="0">
    <tabColor rgb="FF00B050"/>
    <pageSetUpPr fitToPage="1"/>
  </sheetPr>
  <dimension ref="A1:Q43"/>
  <sheetViews>
    <sheetView workbookViewId="0">
      <selection activeCell="J52" sqref="J52"/>
    </sheetView>
  </sheetViews>
  <sheetFormatPr baseColWidth="10" defaultColWidth="8.83203125" defaultRowHeight="12" x14ac:dyDescent="0"/>
  <cols>
    <col min="1" max="1" width="15.1640625" bestFit="1" customWidth="1"/>
    <col min="12" max="12" width="10.1640625" bestFit="1" customWidth="1"/>
    <col min="16" max="16" width="9.6640625" bestFit="1" customWidth="1"/>
  </cols>
  <sheetData>
    <row r="1" spans="1:17" ht="23">
      <c r="A1" s="711" t="s">
        <v>273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</row>
    <row r="2" spans="1:17" ht="13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3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252" t="s">
        <v>13</v>
      </c>
      <c r="N3" s="307" t="s">
        <v>79</v>
      </c>
      <c r="O3" s="251" t="s">
        <v>74</v>
      </c>
      <c r="P3" s="253" t="s">
        <v>16</v>
      </c>
    </row>
    <row r="4" spans="1:17">
      <c r="A4" s="261" t="s">
        <v>154</v>
      </c>
      <c r="B4" s="271">
        <v>12.6</v>
      </c>
      <c r="C4" s="288">
        <v>234.5</v>
      </c>
      <c r="D4" s="288"/>
      <c r="E4" s="289"/>
      <c r="F4" s="288">
        <v>232.77</v>
      </c>
      <c r="G4" s="289"/>
      <c r="H4" s="289"/>
      <c r="I4" s="288">
        <v>277.16000000000003</v>
      </c>
      <c r="J4" s="289"/>
      <c r="K4" s="289"/>
      <c r="L4" s="291">
        <v>313.22000000000003</v>
      </c>
      <c r="M4" s="299"/>
      <c r="N4" s="308">
        <f t="shared" ref="N4:N35" si="0">SUM(B4:M4)</f>
        <v>1070.25</v>
      </c>
      <c r="O4" s="19">
        <f>SUM('MTRT 2005'!B4:M4)</f>
        <v>521.6</v>
      </c>
      <c r="P4" s="22">
        <f>N4/O4-1</f>
        <v>1.0518596625766872</v>
      </c>
      <c r="Q4" s="261" t="s">
        <v>154</v>
      </c>
    </row>
    <row r="5" spans="1:17">
      <c r="A5" s="267" t="s">
        <v>156</v>
      </c>
      <c r="B5" s="19">
        <v>1609.17</v>
      </c>
      <c r="C5" s="19">
        <v>1124.8499999999999</v>
      </c>
      <c r="D5" s="19">
        <v>905.56</v>
      </c>
      <c r="E5" s="19">
        <v>844.63</v>
      </c>
      <c r="F5" s="19">
        <v>1248.05</v>
      </c>
      <c r="G5" s="19">
        <v>1135.81</v>
      </c>
      <c r="H5" s="19">
        <v>1241.3599999999999</v>
      </c>
      <c r="I5" s="19">
        <v>1843.08</v>
      </c>
      <c r="J5" s="19">
        <v>1778.33</v>
      </c>
      <c r="K5" s="19">
        <v>1781.58</v>
      </c>
      <c r="L5" s="19">
        <v>2029.29</v>
      </c>
      <c r="M5" s="99">
        <v>1104.5999999999999</v>
      </c>
      <c r="N5" s="308">
        <f t="shared" si="0"/>
        <v>16646.309999999998</v>
      </c>
      <c r="O5" s="19">
        <f>SUM('MTRT 2005'!B5:M5)</f>
        <v>14247.36</v>
      </c>
      <c r="P5" s="22">
        <f>N5/O5-1</f>
        <v>0.16837856276531205</v>
      </c>
      <c r="Q5" s="267" t="s">
        <v>156</v>
      </c>
    </row>
    <row r="6" spans="1:17">
      <c r="A6" s="267" t="s">
        <v>160</v>
      </c>
      <c r="B6" s="19">
        <v>2249</v>
      </c>
      <c r="C6" s="19">
        <v>2249</v>
      </c>
      <c r="D6" s="19">
        <v>2250</v>
      </c>
      <c r="E6" s="19">
        <v>6702</v>
      </c>
      <c r="F6" s="19">
        <v>6702</v>
      </c>
      <c r="G6" s="19">
        <v>6703</v>
      </c>
      <c r="H6" s="19"/>
      <c r="I6" s="19"/>
      <c r="J6" s="19"/>
      <c r="K6" s="19">
        <v>0</v>
      </c>
      <c r="L6" s="19"/>
      <c r="M6" s="99">
        <v>9437.6</v>
      </c>
      <c r="N6" s="308">
        <f t="shared" si="0"/>
        <v>36292.6</v>
      </c>
      <c r="O6" s="19">
        <f>SUM('MTRT 2005'!B6:M6)</f>
        <v>10698</v>
      </c>
      <c r="P6" s="22">
        <f t="shared" ref="P6:P39" si="1">N6/O6-1</f>
        <v>2.3924658814731723</v>
      </c>
      <c r="Q6" s="267" t="s">
        <v>160</v>
      </c>
    </row>
    <row r="7" spans="1:17">
      <c r="A7" s="267" t="s">
        <v>161</v>
      </c>
      <c r="B7" s="19">
        <v>886.51</v>
      </c>
      <c r="C7" s="19">
        <v>833.32</v>
      </c>
      <c r="D7" s="19">
        <v>944.72</v>
      </c>
      <c r="E7" s="19">
        <v>912.76</v>
      </c>
      <c r="F7" s="19">
        <v>1061.72</v>
      </c>
      <c r="G7" s="19">
        <v>1037.71</v>
      </c>
      <c r="H7" s="19">
        <v>1236.68</v>
      </c>
      <c r="I7" s="19"/>
      <c r="J7" s="19">
        <v>1447.95</v>
      </c>
      <c r="K7" s="19">
        <v>1363.22</v>
      </c>
      <c r="L7" s="19">
        <v>1017.86</v>
      </c>
      <c r="M7" s="99">
        <v>1219.3</v>
      </c>
      <c r="N7" s="308">
        <f t="shared" si="0"/>
        <v>11961.75</v>
      </c>
      <c r="O7" s="19">
        <f>SUM('MTRT 2005'!B7:M7)</f>
        <v>1054.04</v>
      </c>
      <c r="P7" s="22">
        <f t="shared" si="1"/>
        <v>10.348478236120071</v>
      </c>
      <c r="Q7" s="267" t="s">
        <v>161</v>
      </c>
    </row>
    <row r="8" spans="1:17">
      <c r="A8" s="267" t="s">
        <v>163</v>
      </c>
      <c r="B8" s="19">
        <v>4448.17</v>
      </c>
      <c r="C8" s="19">
        <v>4107.09</v>
      </c>
      <c r="D8" s="19">
        <v>8054.12</v>
      </c>
      <c r="E8" s="19">
        <v>1732.75</v>
      </c>
      <c r="F8" s="19">
        <v>4197.18</v>
      </c>
      <c r="G8" s="19">
        <v>6129.22</v>
      </c>
      <c r="H8" s="19">
        <v>1252.08</v>
      </c>
      <c r="I8" s="19">
        <v>11584.13</v>
      </c>
      <c r="J8" s="19">
        <v>2445.9899999999998</v>
      </c>
      <c r="K8" s="19">
        <v>8664.58</v>
      </c>
      <c r="L8" s="19">
        <v>8983.56</v>
      </c>
      <c r="M8" s="99">
        <v>3856.61</v>
      </c>
      <c r="N8" s="308">
        <f t="shared" si="0"/>
        <v>65455.479999999996</v>
      </c>
      <c r="O8" s="19">
        <f>SUM('MTRT 2005'!B8:M8)</f>
        <v>44096.399999999994</v>
      </c>
      <c r="P8" s="22">
        <f t="shared" si="1"/>
        <v>0.48437242042434314</v>
      </c>
      <c r="Q8" s="267" t="s">
        <v>163</v>
      </c>
    </row>
    <row r="9" spans="1:17">
      <c r="A9" s="267" t="s">
        <v>168</v>
      </c>
      <c r="B9" s="111">
        <v>8127.99</v>
      </c>
      <c r="C9" s="111">
        <v>5655.06</v>
      </c>
      <c r="D9" s="111">
        <v>7037.64</v>
      </c>
      <c r="E9" s="111">
        <v>8888.41</v>
      </c>
      <c r="F9" s="111">
        <v>12551.5</v>
      </c>
      <c r="G9" s="111">
        <v>10735.77</v>
      </c>
      <c r="H9" s="111">
        <v>9733.31</v>
      </c>
      <c r="I9" s="111">
        <v>18642.099999999999</v>
      </c>
      <c r="J9" s="111">
        <v>12743.48</v>
      </c>
      <c r="K9" s="19">
        <v>13889.8</v>
      </c>
      <c r="L9" s="19">
        <v>10947.19</v>
      </c>
      <c r="M9" s="99">
        <v>9817.7000000000007</v>
      </c>
      <c r="N9" s="308">
        <f>SUM(B9:M9)</f>
        <v>128769.95</v>
      </c>
      <c r="O9" s="19">
        <f>SUM('MTRT 2005'!B9:M9)</f>
        <v>109732.85</v>
      </c>
      <c r="P9" s="22">
        <f t="shared" si="1"/>
        <v>0.17348587957024719</v>
      </c>
      <c r="Q9" s="267" t="s">
        <v>168</v>
      </c>
    </row>
    <row r="10" spans="1:17">
      <c r="A10" s="267" t="s">
        <v>172</v>
      </c>
      <c r="B10" s="111">
        <v>815</v>
      </c>
      <c r="C10" s="111">
        <v>866</v>
      </c>
      <c r="D10" s="111">
        <v>977</v>
      </c>
      <c r="E10" s="111">
        <v>1457</v>
      </c>
      <c r="F10" s="111">
        <v>1268</v>
      </c>
      <c r="G10" s="111">
        <v>1231</v>
      </c>
      <c r="H10" s="111">
        <v>1552</v>
      </c>
      <c r="I10" s="111">
        <v>1789</v>
      </c>
      <c r="J10" s="111">
        <v>1841</v>
      </c>
      <c r="K10" s="19"/>
      <c r="L10" s="19"/>
      <c r="M10" s="99"/>
      <c r="N10" s="308">
        <f>SUM(B10:M10)</f>
        <v>11796</v>
      </c>
      <c r="O10" s="19">
        <f>SUM('MTRT 2005'!B17:M17)</f>
        <v>13790</v>
      </c>
      <c r="P10" s="22">
        <f t="shared" si="1"/>
        <v>-0.14459753444525014</v>
      </c>
      <c r="Q10" s="267" t="s">
        <v>172</v>
      </c>
    </row>
    <row r="11" spans="1:17">
      <c r="A11" s="267" t="s">
        <v>174</v>
      </c>
      <c r="B11" s="19">
        <v>1577.23</v>
      </c>
      <c r="C11" s="19">
        <v>1458.15</v>
      </c>
      <c r="D11" s="19">
        <v>685.71</v>
      </c>
      <c r="E11" s="19">
        <v>637.66999999999996</v>
      </c>
      <c r="F11" s="19">
        <v>1155.71</v>
      </c>
      <c r="G11" s="19">
        <v>831.83</v>
      </c>
      <c r="H11" s="19">
        <v>971.07</v>
      </c>
      <c r="I11" s="19">
        <v>1409.85</v>
      </c>
      <c r="J11" s="19">
        <v>860.29</v>
      </c>
      <c r="K11" s="19">
        <v>857.23</v>
      </c>
      <c r="L11" s="19">
        <v>1189.43</v>
      </c>
      <c r="M11" s="99">
        <v>845.89</v>
      </c>
      <c r="N11" s="308">
        <f t="shared" si="0"/>
        <v>12480.059999999998</v>
      </c>
      <c r="O11" s="19">
        <f>SUM('MTRT 2005'!B10:M10)</f>
        <v>8156.1099999999988</v>
      </c>
      <c r="P11" s="22">
        <f t="shared" si="1"/>
        <v>0.53014856346959505</v>
      </c>
      <c r="Q11" s="267" t="s">
        <v>174</v>
      </c>
    </row>
    <row r="12" spans="1:17">
      <c r="A12" s="267" t="s">
        <v>176</v>
      </c>
      <c r="B12" s="19">
        <v>1741.63</v>
      </c>
      <c r="C12" s="19">
        <v>2000.05</v>
      </c>
      <c r="D12" s="19">
        <v>2924.05</v>
      </c>
      <c r="E12" s="19">
        <v>934.02</v>
      </c>
      <c r="F12" s="19">
        <v>2802.02</v>
      </c>
      <c r="G12" s="19">
        <v>3945.39</v>
      </c>
      <c r="H12" s="19">
        <v>5380.86</v>
      </c>
      <c r="I12" s="19">
        <v>8885.3799999999992</v>
      </c>
      <c r="J12" s="19">
        <v>5704.71</v>
      </c>
      <c r="K12" s="19">
        <v>6773.79</v>
      </c>
      <c r="L12" s="19">
        <v>6534.09</v>
      </c>
      <c r="M12" s="99">
        <v>5472.39</v>
      </c>
      <c r="N12" s="308">
        <f t="shared" si="0"/>
        <v>53098.380000000005</v>
      </c>
      <c r="O12" s="19">
        <f>SUM('MTRT 2005'!B11:M11)</f>
        <v>49216.98</v>
      </c>
      <c r="P12" s="22">
        <f t="shared" si="1"/>
        <v>7.8863026540840098E-2</v>
      </c>
      <c r="Q12" s="267" t="s">
        <v>176</v>
      </c>
    </row>
    <row r="13" spans="1:17">
      <c r="A13" s="267" t="s">
        <v>180</v>
      </c>
      <c r="B13" s="19">
        <v>12152.51</v>
      </c>
      <c r="C13" s="19">
        <v>14157.38</v>
      </c>
      <c r="D13" s="19">
        <v>6975.8</v>
      </c>
      <c r="E13" s="19">
        <v>5058.8599999999997</v>
      </c>
      <c r="F13" s="19">
        <v>32205.47</v>
      </c>
      <c r="G13" s="19">
        <v>38537.339999999997</v>
      </c>
      <c r="H13" s="19">
        <v>39322.79</v>
      </c>
      <c r="I13" s="19">
        <v>65273.67</v>
      </c>
      <c r="J13" s="19">
        <v>31501.5</v>
      </c>
      <c r="K13" s="19">
        <v>34491.82</v>
      </c>
      <c r="L13" s="19">
        <v>55128.28</v>
      </c>
      <c r="M13" s="99">
        <v>37818.97</v>
      </c>
      <c r="N13" s="308">
        <f t="shared" si="0"/>
        <v>372624.39</v>
      </c>
      <c r="O13" s="19">
        <f>SUM('MTRT 2005'!B12:M12)</f>
        <v>343458.97</v>
      </c>
      <c r="P13" s="22">
        <f t="shared" si="1"/>
        <v>8.4916751482717157E-2</v>
      </c>
      <c r="Q13" s="267" t="s">
        <v>180</v>
      </c>
    </row>
    <row r="14" spans="1:17">
      <c r="A14" s="267" t="s">
        <v>262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99"/>
      <c r="N14" s="308">
        <f t="shared" si="0"/>
        <v>0</v>
      </c>
      <c r="O14" s="19">
        <f>SUM('MTRT 2005'!B13:M13)</f>
        <v>0</v>
      </c>
      <c r="P14" s="22" t="e">
        <f t="shared" si="1"/>
        <v>#DIV/0!</v>
      </c>
      <c r="Q14" s="267" t="s">
        <v>262</v>
      </c>
    </row>
    <row r="15" spans="1:17">
      <c r="A15" s="267" t="s">
        <v>196</v>
      </c>
      <c r="B15" s="19">
        <v>234.09</v>
      </c>
      <c r="C15" s="19">
        <v>1272.69</v>
      </c>
      <c r="D15" s="19">
        <v>3645.85</v>
      </c>
      <c r="E15" s="19">
        <v>9787.98</v>
      </c>
      <c r="F15" s="19">
        <v>3943.39</v>
      </c>
      <c r="G15" s="19">
        <v>1570.71</v>
      </c>
      <c r="H15" s="19">
        <v>431.94</v>
      </c>
      <c r="I15" s="19">
        <v>165.31</v>
      </c>
      <c r="J15" s="19">
        <v>817.6</v>
      </c>
      <c r="K15" s="19">
        <v>4202.84</v>
      </c>
      <c r="L15" s="19">
        <v>2062.9299999999998</v>
      </c>
      <c r="M15" s="99">
        <v>3455.88</v>
      </c>
      <c r="N15" s="308">
        <f t="shared" si="0"/>
        <v>31591.21</v>
      </c>
      <c r="O15" s="19">
        <f>SUM('MTRT 2005'!B14:M14)</f>
        <v>388.63</v>
      </c>
      <c r="P15" s="22">
        <f t="shared" si="1"/>
        <v>80.288655018912593</v>
      </c>
      <c r="Q15" s="267" t="s">
        <v>196</v>
      </c>
    </row>
    <row r="16" spans="1:17">
      <c r="A16" s="267" t="s">
        <v>199</v>
      </c>
      <c r="B16" s="19">
        <v>2315.6</v>
      </c>
      <c r="C16" s="19">
        <v>5415.68</v>
      </c>
      <c r="D16" s="19">
        <v>3704.23</v>
      </c>
      <c r="E16" s="19">
        <v>3723.68</v>
      </c>
      <c r="F16" s="19">
        <v>4437.2700000000004</v>
      </c>
      <c r="G16" s="19">
        <v>3322.63</v>
      </c>
      <c r="H16" s="19">
        <v>2717.11</v>
      </c>
      <c r="I16" s="19">
        <v>2595.33</v>
      </c>
      <c r="J16" s="19">
        <v>3212.25</v>
      </c>
      <c r="K16" s="19">
        <v>3684.68</v>
      </c>
      <c r="L16" s="19">
        <v>2893.7</v>
      </c>
      <c r="M16" s="99">
        <v>2724.43</v>
      </c>
      <c r="N16" s="308">
        <f t="shared" si="0"/>
        <v>40746.589999999997</v>
      </c>
      <c r="O16" s="19">
        <f>SUM('MTRT 2005'!B15:M15)</f>
        <v>35814.800000000003</v>
      </c>
      <c r="P16" s="22">
        <f t="shared" si="1"/>
        <v>0.13770256988730889</v>
      </c>
      <c r="Q16" s="267" t="s">
        <v>199</v>
      </c>
    </row>
    <row r="17" spans="1:17">
      <c r="A17" s="267" t="s">
        <v>204</v>
      </c>
      <c r="B17" s="19">
        <v>971.5</v>
      </c>
      <c r="C17" s="19">
        <v>2532.69</v>
      </c>
      <c r="D17" s="19">
        <v>1456.97</v>
      </c>
      <c r="E17" s="19">
        <v>1840.8</v>
      </c>
      <c r="F17" s="19">
        <v>2097.14</v>
      </c>
      <c r="G17" s="19">
        <v>4660.6000000000004</v>
      </c>
      <c r="H17" s="19">
        <v>1490.61</v>
      </c>
      <c r="I17" s="19">
        <v>3968.18</v>
      </c>
      <c r="J17" s="19">
        <v>1655.69</v>
      </c>
      <c r="K17" s="19">
        <v>3817.57</v>
      </c>
      <c r="L17" s="19">
        <v>2094.14</v>
      </c>
      <c r="M17" s="99">
        <v>2843.35</v>
      </c>
      <c r="N17" s="308">
        <f t="shared" si="0"/>
        <v>29429.239999999998</v>
      </c>
      <c r="O17" s="19">
        <f>SUM('MTRT 2005'!B16:M16)</f>
        <v>26023.909999999996</v>
      </c>
      <c r="P17" s="22">
        <f t="shared" si="1"/>
        <v>0.13085389551377946</v>
      </c>
      <c r="Q17" s="267" t="s">
        <v>204</v>
      </c>
    </row>
    <row r="18" spans="1:17">
      <c r="A18" s="267" t="s">
        <v>206</v>
      </c>
      <c r="B18" s="19">
        <v>9124</v>
      </c>
      <c r="C18" s="19">
        <v>9124</v>
      </c>
      <c r="D18" s="19">
        <v>9125</v>
      </c>
      <c r="E18" s="19">
        <v>9950</v>
      </c>
      <c r="F18" s="19">
        <v>9950</v>
      </c>
      <c r="G18" s="19">
        <v>9951</v>
      </c>
      <c r="H18" s="19">
        <v>10010</v>
      </c>
      <c r="I18" s="19">
        <v>10011</v>
      </c>
      <c r="J18" s="19">
        <v>10011</v>
      </c>
      <c r="K18" s="19"/>
      <c r="L18" s="19"/>
      <c r="M18" s="99"/>
      <c r="N18" s="308">
        <f t="shared" si="0"/>
        <v>87256</v>
      </c>
      <c r="O18" s="19">
        <f>SUM('MTRT 2005'!B18:M18)</f>
        <v>84942</v>
      </c>
      <c r="P18" s="22">
        <f t="shared" si="1"/>
        <v>2.7242118151209027E-2</v>
      </c>
      <c r="Q18" s="267" t="s">
        <v>206</v>
      </c>
    </row>
    <row r="19" spans="1:17">
      <c r="A19" s="267" t="s">
        <v>208</v>
      </c>
      <c r="B19" s="19">
        <v>448.66</v>
      </c>
      <c r="C19" s="19">
        <v>2236.2800000000002</v>
      </c>
      <c r="D19" s="19">
        <v>287.68</v>
      </c>
      <c r="E19" s="19">
        <v>341.75</v>
      </c>
      <c r="F19" s="19">
        <v>1796.33</v>
      </c>
      <c r="G19" s="19">
        <v>671.62</v>
      </c>
      <c r="H19" s="19">
        <v>766.94</v>
      </c>
      <c r="I19" s="19">
        <v>4414.8100000000004</v>
      </c>
      <c r="J19" s="19">
        <v>748.82</v>
      </c>
      <c r="K19" s="19">
        <v>672.49</v>
      </c>
      <c r="L19" s="19">
        <v>4429.1000000000004</v>
      </c>
      <c r="M19" s="99">
        <v>861.49</v>
      </c>
      <c r="N19" s="308">
        <f t="shared" si="0"/>
        <v>17675.97</v>
      </c>
      <c r="O19" s="19">
        <f>SUM('MTRT 2005'!B19:M19)</f>
        <v>17307.830000000002</v>
      </c>
      <c r="P19" s="22">
        <f t="shared" si="1"/>
        <v>2.127014189531562E-2</v>
      </c>
      <c r="Q19" s="267" t="s">
        <v>208</v>
      </c>
    </row>
    <row r="20" spans="1:17">
      <c r="A20" s="267" t="s">
        <v>209</v>
      </c>
      <c r="B20" s="19">
        <v>382.34</v>
      </c>
      <c r="C20" s="19">
        <v>307.02999999999997</v>
      </c>
      <c r="D20" s="19">
        <v>1550.49</v>
      </c>
      <c r="E20" s="19">
        <v>242.88</v>
      </c>
      <c r="F20" s="19">
        <v>1186.9000000000001</v>
      </c>
      <c r="G20" s="19">
        <v>581.36</v>
      </c>
      <c r="H20" s="19">
        <v>810.45</v>
      </c>
      <c r="I20" s="19">
        <v>3644.45</v>
      </c>
      <c r="J20" s="19">
        <v>810.16</v>
      </c>
      <c r="K20" s="19">
        <v>618.30999999999995</v>
      </c>
      <c r="L20" s="19">
        <v>2600.62</v>
      </c>
      <c r="M20" s="99">
        <v>2593.66</v>
      </c>
      <c r="N20" s="308">
        <f t="shared" si="0"/>
        <v>15328.649999999998</v>
      </c>
      <c r="O20" s="19">
        <f>SUM('MTRT 2005'!B20:M20)</f>
        <v>14917.98</v>
      </c>
      <c r="P20" s="22">
        <f t="shared" si="1"/>
        <v>2.7528525980058838E-2</v>
      </c>
      <c r="Q20" s="267" t="s">
        <v>209</v>
      </c>
    </row>
    <row r="21" spans="1:17">
      <c r="A21" s="267" t="s">
        <v>213</v>
      </c>
      <c r="B21" s="19">
        <v>713</v>
      </c>
      <c r="C21" s="19">
        <v>714</v>
      </c>
      <c r="D21" s="19">
        <v>714</v>
      </c>
      <c r="E21" s="19">
        <v>1438</v>
      </c>
      <c r="F21" s="19">
        <v>1438</v>
      </c>
      <c r="G21" s="19">
        <v>1439</v>
      </c>
      <c r="H21" s="19"/>
      <c r="I21" s="19"/>
      <c r="J21" s="19"/>
      <c r="K21" s="19"/>
      <c r="L21" s="19"/>
      <c r="M21" s="99"/>
      <c r="N21" s="308">
        <f t="shared" si="0"/>
        <v>6456</v>
      </c>
      <c r="O21" s="19">
        <f>SUM('MTRT 2005'!B21:M21)</f>
        <v>15317</v>
      </c>
      <c r="P21" s="22">
        <f t="shared" si="1"/>
        <v>-0.57850754064111776</v>
      </c>
      <c r="Q21" s="267" t="s">
        <v>213</v>
      </c>
    </row>
    <row r="22" spans="1:17">
      <c r="A22" s="267" t="s">
        <v>212</v>
      </c>
      <c r="B22" s="19">
        <v>2885</v>
      </c>
      <c r="C22" s="19">
        <v>2885</v>
      </c>
      <c r="D22" s="19">
        <v>2885</v>
      </c>
      <c r="E22" s="19">
        <v>4965</v>
      </c>
      <c r="F22" s="19">
        <v>4965</v>
      </c>
      <c r="G22" s="19">
        <v>4966</v>
      </c>
      <c r="H22" s="19"/>
      <c r="I22" s="19"/>
      <c r="J22" s="19"/>
      <c r="K22" s="19"/>
      <c r="L22" s="19">
        <v>482.13</v>
      </c>
      <c r="M22" s="99">
        <v>580.11</v>
      </c>
      <c r="N22" s="308">
        <f>SUM(B22:M22)</f>
        <v>24613.24</v>
      </c>
      <c r="O22" s="19">
        <f>SUM('MTRT 2005'!B22:M22)</f>
        <v>48520</v>
      </c>
      <c r="P22" s="22">
        <f t="shared" si="1"/>
        <v>-0.492719703215169</v>
      </c>
      <c r="Q22" s="267" t="s">
        <v>212</v>
      </c>
    </row>
    <row r="23" spans="1:17">
      <c r="A23" s="267" t="s">
        <v>223</v>
      </c>
      <c r="B23" s="19"/>
      <c r="C23" s="19">
        <v>56.69</v>
      </c>
      <c r="D23" s="19"/>
      <c r="E23" s="19"/>
      <c r="F23" s="19"/>
      <c r="G23" s="19"/>
      <c r="H23" s="19">
        <v>114.08</v>
      </c>
      <c r="I23" s="19">
        <v>90.83</v>
      </c>
      <c r="J23" s="19"/>
      <c r="K23" s="19"/>
      <c r="L23" s="19">
        <v>90.21</v>
      </c>
      <c r="M23" s="99"/>
      <c r="N23" s="308">
        <f t="shared" si="0"/>
        <v>351.80999999999995</v>
      </c>
      <c r="O23" s="19">
        <f>SUM('MTRT 2005'!B23:M23)</f>
        <v>169.06</v>
      </c>
      <c r="P23" s="22">
        <f t="shared" si="1"/>
        <v>1.0809771678693951</v>
      </c>
      <c r="Q23" s="267" t="s">
        <v>223</v>
      </c>
    </row>
    <row r="24" spans="1:17">
      <c r="A24" s="267" t="s">
        <v>216</v>
      </c>
      <c r="B24" s="19">
        <v>12503.93</v>
      </c>
      <c r="C24" s="19">
        <v>1534.19</v>
      </c>
      <c r="D24" s="19">
        <v>1173.05</v>
      </c>
      <c r="E24" s="19">
        <v>1916.11</v>
      </c>
      <c r="F24" s="19">
        <v>2326.38</v>
      </c>
      <c r="G24" s="19">
        <v>2529.23</v>
      </c>
      <c r="H24" s="19">
        <v>2413.13</v>
      </c>
      <c r="I24" s="19">
        <v>3021.91</v>
      </c>
      <c r="J24" s="19">
        <v>2537.37</v>
      </c>
      <c r="K24" s="19">
        <v>3257.91</v>
      </c>
      <c r="L24" s="19">
        <v>3310.55</v>
      </c>
      <c r="M24" s="99">
        <v>3175.34</v>
      </c>
      <c r="N24" s="308">
        <f t="shared" si="0"/>
        <v>39699.100000000006</v>
      </c>
      <c r="O24" s="19">
        <f>SUM('MTRT 2005'!B24:M24)</f>
        <v>19967.189999999999</v>
      </c>
      <c r="P24" s="22">
        <f t="shared" si="1"/>
        <v>0.98821666944622688</v>
      </c>
      <c r="Q24" s="267" t="s">
        <v>216</v>
      </c>
    </row>
    <row r="25" spans="1:17">
      <c r="A25" s="267" t="s">
        <v>224</v>
      </c>
      <c r="B25" s="19">
        <v>4362.49</v>
      </c>
      <c r="C25" s="19">
        <v>4253.08</v>
      </c>
      <c r="D25" s="19">
        <v>5750.93</v>
      </c>
      <c r="E25" s="19">
        <v>5130.54</v>
      </c>
      <c r="F25" s="19">
        <v>6507.39</v>
      </c>
      <c r="G25" s="19">
        <v>5898.5</v>
      </c>
      <c r="H25" s="19">
        <v>6111.66</v>
      </c>
      <c r="I25" s="19">
        <v>6991.39</v>
      </c>
      <c r="J25" s="19">
        <v>7420.1</v>
      </c>
      <c r="K25" s="19">
        <v>7861.64</v>
      </c>
      <c r="L25" s="19">
        <v>6859.24</v>
      </c>
      <c r="M25" s="99">
        <v>5718.47</v>
      </c>
      <c r="N25" s="308">
        <f t="shared" si="0"/>
        <v>72865.429999999993</v>
      </c>
      <c r="O25" s="19">
        <f>SUM('MTRT 2005'!B25:M25)</f>
        <v>59381.009999999995</v>
      </c>
      <c r="P25" s="22">
        <f t="shared" si="1"/>
        <v>0.22708303546874675</v>
      </c>
      <c r="Q25" s="267" t="s">
        <v>224</v>
      </c>
    </row>
    <row r="26" spans="1:17">
      <c r="A26" s="267" t="s">
        <v>227</v>
      </c>
      <c r="B26" s="19">
        <v>1536</v>
      </c>
      <c r="C26" s="19">
        <v>1536</v>
      </c>
      <c r="D26" s="19">
        <v>1536</v>
      </c>
      <c r="E26" s="19">
        <v>4318</v>
      </c>
      <c r="F26" s="19">
        <v>4318</v>
      </c>
      <c r="G26" s="19">
        <v>4318</v>
      </c>
      <c r="H26" s="19"/>
      <c r="I26" s="19"/>
      <c r="J26" s="19"/>
      <c r="K26" s="19"/>
      <c r="L26" s="19"/>
      <c r="M26" s="99"/>
      <c r="N26" s="308">
        <f t="shared" si="0"/>
        <v>17562</v>
      </c>
      <c r="O26" s="19">
        <f>SUM('MTRT 2005'!B27:M27)</f>
        <v>13254</v>
      </c>
      <c r="P26" s="22">
        <f t="shared" si="1"/>
        <v>0.32503395201448626</v>
      </c>
      <c r="Q26" s="267" t="s">
        <v>227</v>
      </c>
    </row>
    <row r="27" spans="1:17">
      <c r="A27" s="267" t="s">
        <v>229</v>
      </c>
      <c r="B27" s="19">
        <v>552.95000000000005</v>
      </c>
      <c r="C27" s="19">
        <v>2674.08</v>
      </c>
      <c r="D27" s="19">
        <v>1621.96</v>
      </c>
      <c r="E27" s="19">
        <v>1277.52</v>
      </c>
      <c r="F27" s="19">
        <v>5570.01</v>
      </c>
      <c r="G27" s="19">
        <v>745.55</v>
      </c>
      <c r="H27" s="19">
        <v>1507.02</v>
      </c>
      <c r="I27" s="19">
        <v>3330.36</v>
      </c>
      <c r="J27" s="19">
        <v>2609.5500000000002</v>
      </c>
      <c r="K27" s="19">
        <v>2307.5700000000002</v>
      </c>
      <c r="L27" s="19">
        <v>3152.08</v>
      </c>
      <c r="M27" s="99">
        <v>1419.79</v>
      </c>
      <c r="N27" s="308">
        <f t="shared" si="0"/>
        <v>26768.440000000002</v>
      </c>
      <c r="O27" s="19">
        <f>SUM('MTRT 2005'!B28:M28)</f>
        <v>24143.56</v>
      </c>
      <c r="P27" s="22">
        <f t="shared" si="1"/>
        <v>0.10871967514318515</v>
      </c>
      <c r="Q27" s="267" t="s">
        <v>229</v>
      </c>
    </row>
    <row r="28" spans="1:17">
      <c r="A28" s="267" t="s">
        <v>230</v>
      </c>
      <c r="B28" s="19">
        <v>2160.91</v>
      </c>
      <c r="C28" s="19">
        <v>4042.42</v>
      </c>
      <c r="D28" s="19">
        <v>3441.67</v>
      </c>
      <c r="E28" s="19">
        <v>2780.35</v>
      </c>
      <c r="F28" s="19">
        <v>4729.96</v>
      </c>
      <c r="G28" s="19">
        <v>2513.4499999999998</v>
      </c>
      <c r="H28" s="19">
        <v>1786.34</v>
      </c>
      <c r="I28" s="19">
        <v>7665.08</v>
      </c>
      <c r="J28" s="19">
        <v>5591.5</v>
      </c>
      <c r="K28" s="19">
        <v>5580.39</v>
      </c>
      <c r="L28" s="19">
        <v>18735.55</v>
      </c>
      <c r="M28" s="99">
        <v>2966.46</v>
      </c>
      <c r="N28" s="308">
        <f t="shared" si="0"/>
        <v>61994.079999999994</v>
      </c>
      <c r="O28" s="19">
        <f>SUM('MTRT 2005'!B29:M29)</f>
        <v>38536.020000000004</v>
      </c>
      <c r="P28" s="22">
        <f t="shared" si="1"/>
        <v>0.60873074074593037</v>
      </c>
      <c r="Q28" s="267" t="s">
        <v>230</v>
      </c>
    </row>
    <row r="29" spans="1:17">
      <c r="A29" s="267" t="s">
        <v>233</v>
      </c>
      <c r="B29" s="19">
        <v>1100</v>
      </c>
      <c r="C29" s="19">
        <v>1496</v>
      </c>
      <c r="D29" s="19">
        <v>2334</v>
      </c>
      <c r="E29" s="19">
        <v>2607</v>
      </c>
      <c r="F29" s="19">
        <v>2789</v>
      </c>
      <c r="G29" s="19">
        <v>1708</v>
      </c>
      <c r="H29" s="19">
        <v>1405</v>
      </c>
      <c r="I29" s="19">
        <v>1794</v>
      </c>
      <c r="J29" s="19"/>
      <c r="K29" s="19"/>
      <c r="L29" s="19"/>
      <c r="M29" s="99"/>
      <c r="N29" s="308">
        <f t="shared" si="0"/>
        <v>15233</v>
      </c>
      <c r="O29" s="19">
        <f>SUM('MTRT 2005'!B26:M26)</f>
        <v>21266</v>
      </c>
      <c r="P29" s="22">
        <f t="shared" si="1"/>
        <v>-0.28369227875481995</v>
      </c>
      <c r="Q29" s="267" t="s">
        <v>233</v>
      </c>
    </row>
    <row r="30" spans="1:17">
      <c r="A30" s="267" t="s">
        <v>237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>
        <v>419.72</v>
      </c>
      <c r="M30" s="99"/>
      <c r="N30" s="308">
        <f t="shared" si="0"/>
        <v>419.72</v>
      </c>
      <c r="O30" s="19">
        <f>SUM('MTRT 2005'!B30:M30)</f>
        <v>0</v>
      </c>
      <c r="P30" s="22" t="s">
        <v>46</v>
      </c>
      <c r="Q30" s="267" t="s">
        <v>237</v>
      </c>
    </row>
    <row r="31" spans="1:17">
      <c r="A31" s="267" t="s">
        <v>238</v>
      </c>
      <c r="B31" s="19">
        <v>11779.73</v>
      </c>
      <c r="C31" s="19">
        <v>3945.22</v>
      </c>
      <c r="D31" s="19">
        <v>3822.29</v>
      </c>
      <c r="E31" s="19">
        <v>2063.5100000000002</v>
      </c>
      <c r="F31" s="19">
        <v>6801.99</v>
      </c>
      <c r="G31" s="19">
        <v>9776.89</v>
      </c>
      <c r="H31" s="19">
        <v>14605.95</v>
      </c>
      <c r="I31" s="19">
        <v>18409.349999999999</v>
      </c>
      <c r="J31" s="19">
        <v>14483.05</v>
      </c>
      <c r="K31" s="19">
        <v>12725.09</v>
      </c>
      <c r="L31" s="19">
        <v>23954.92</v>
      </c>
      <c r="M31" s="99">
        <v>11442.23</v>
      </c>
      <c r="N31" s="308">
        <f t="shared" si="0"/>
        <v>133810.22</v>
      </c>
      <c r="O31" s="19">
        <f>SUM('MTRT 2005'!B31:M31)</f>
        <v>123301.40999999999</v>
      </c>
      <c r="P31" s="22">
        <f t="shared" si="1"/>
        <v>8.5228627961351E-2</v>
      </c>
      <c r="Q31" s="267" t="s">
        <v>238</v>
      </c>
    </row>
    <row r="32" spans="1:17">
      <c r="A32" s="267" t="s">
        <v>240</v>
      </c>
      <c r="B32" s="19"/>
      <c r="C32" s="19"/>
      <c r="D32" s="19"/>
      <c r="E32" s="19"/>
      <c r="F32" s="19"/>
      <c r="G32" s="19"/>
      <c r="H32" s="19"/>
      <c r="I32" s="19">
        <v>1570.22</v>
      </c>
      <c r="J32" s="19"/>
      <c r="K32" s="19"/>
      <c r="L32" s="19">
        <v>1546.26</v>
      </c>
      <c r="M32" s="99"/>
      <c r="N32" s="308">
        <f t="shared" si="0"/>
        <v>3116.48</v>
      </c>
      <c r="O32" s="19" t="s">
        <v>46</v>
      </c>
      <c r="P32" s="22"/>
      <c r="Q32" s="267" t="s">
        <v>240</v>
      </c>
    </row>
    <row r="33" spans="1:17">
      <c r="A33" s="267" t="s">
        <v>242</v>
      </c>
      <c r="B33" s="19"/>
      <c r="C33" s="19">
        <v>591.78</v>
      </c>
      <c r="D33" s="19"/>
      <c r="E33" s="19"/>
      <c r="F33" s="19">
        <v>188.44</v>
      </c>
      <c r="G33" s="19"/>
      <c r="H33" s="19"/>
      <c r="I33" s="19">
        <v>946.18</v>
      </c>
      <c r="J33" s="19"/>
      <c r="K33" s="19"/>
      <c r="L33" s="19">
        <v>944.91</v>
      </c>
      <c r="M33" s="99"/>
      <c r="N33" s="308">
        <f t="shared" si="0"/>
        <v>2671.31</v>
      </c>
      <c r="O33" s="19">
        <f>SUM('MTRT 2005'!B32:M32)</f>
        <v>2472.6000000000004</v>
      </c>
      <c r="P33" s="22">
        <f t="shared" si="1"/>
        <v>8.0364798188141906E-2</v>
      </c>
      <c r="Q33" s="267" t="s">
        <v>242</v>
      </c>
    </row>
    <row r="34" spans="1:17">
      <c r="A34" s="267" t="s">
        <v>264</v>
      </c>
      <c r="B34" s="19"/>
      <c r="C34" s="19"/>
      <c r="D34" s="19"/>
      <c r="E34" s="19"/>
      <c r="F34" s="19"/>
      <c r="G34" s="19">
        <v>2762.69</v>
      </c>
      <c r="H34" s="19">
        <v>1583.48</v>
      </c>
      <c r="I34" s="19"/>
      <c r="J34" s="19"/>
      <c r="K34" s="19"/>
      <c r="L34" s="19"/>
      <c r="M34" s="99"/>
      <c r="N34" s="308">
        <f t="shared" si="0"/>
        <v>4346.17</v>
      </c>
      <c r="O34" s="19" t="s">
        <v>46</v>
      </c>
      <c r="P34" s="22"/>
      <c r="Q34" s="267" t="s">
        <v>264</v>
      </c>
    </row>
    <row r="35" spans="1:17">
      <c r="A35" s="267" t="s">
        <v>244</v>
      </c>
      <c r="B35" s="19">
        <v>966.74</v>
      </c>
      <c r="C35" s="19">
        <v>1727.04</v>
      </c>
      <c r="D35" s="19">
        <v>891.65</v>
      </c>
      <c r="E35" s="19">
        <v>973.62</v>
      </c>
      <c r="F35" s="19">
        <v>1851.58</v>
      </c>
      <c r="G35" s="19">
        <v>1203.27</v>
      </c>
      <c r="H35" s="19">
        <v>1374.66</v>
      </c>
      <c r="I35" s="19">
        <v>1843.1</v>
      </c>
      <c r="J35" s="19">
        <v>1940.76</v>
      </c>
      <c r="K35" s="19">
        <v>1987.76</v>
      </c>
      <c r="L35" s="19">
        <v>1701.81</v>
      </c>
      <c r="M35" s="99">
        <v>1559.32</v>
      </c>
      <c r="N35" s="308">
        <f t="shared" si="0"/>
        <v>18021.310000000001</v>
      </c>
      <c r="O35" s="19">
        <f>SUM('MTRT 2005'!B33:M33)</f>
        <v>14477.050000000001</v>
      </c>
      <c r="P35" s="22">
        <f t="shared" si="1"/>
        <v>0.24481921385917715</v>
      </c>
      <c r="Q35" s="267" t="s">
        <v>244</v>
      </c>
    </row>
    <row r="36" spans="1:17">
      <c r="A36" s="267" t="s">
        <v>245</v>
      </c>
      <c r="B36" s="19"/>
      <c r="C36" s="19"/>
      <c r="D36" s="19"/>
      <c r="E36" s="19"/>
      <c r="F36" s="19"/>
      <c r="G36" s="19"/>
      <c r="H36" s="19"/>
      <c r="I36" s="19">
        <v>5373.95</v>
      </c>
      <c r="J36" s="19">
        <v>1898.48</v>
      </c>
      <c r="K36" s="19">
        <v>2917.08</v>
      </c>
      <c r="L36" s="19">
        <v>14569.02</v>
      </c>
      <c r="M36" s="99">
        <v>6289.07</v>
      </c>
      <c r="N36" s="308">
        <f>SUM(B36:M36)</f>
        <v>31047.599999999999</v>
      </c>
      <c r="O36" s="19" t="s">
        <v>46</v>
      </c>
      <c r="P36" s="22"/>
      <c r="Q36" s="267" t="s">
        <v>245</v>
      </c>
    </row>
    <row r="37" spans="1:17">
      <c r="A37" s="267" t="s">
        <v>274</v>
      </c>
      <c r="B37" s="19"/>
      <c r="C37" s="19"/>
      <c r="D37" s="19"/>
      <c r="E37" s="19"/>
      <c r="F37" s="19"/>
      <c r="G37" s="108">
        <v>2176</v>
      </c>
      <c r="H37" s="108">
        <v>2236</v>
      </c>
      <c r="I37" s="108">
        <v>2420</v>
      </c>
      <c r="J37" s="108">
        <v>2042</v>
      </c>
      <c r="K37" s="108">
        <v>1773</v>
      </c>
      <c r="L37" s="108">
        <v>1545</v>
      </c>
      <c r="M37" s="295">
        <v>1264</v>
      </c>
      <c r="N37" s="308">
        <f>SUM(B37:M37)</f>
        <v>13456</v>
      </c>
      <c r="O37" s="19"/>
      <c r="P37" s="22"/>
      <c r="Q37" s="267"/>
    </row>
    <row r="38" spans="1:17">
      <c r="A38" s="301"/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3"/>
      <c r="N38" s="304"/>
      <c r="O38" s="302"/>
      <c r="P38" s="305"/>
      <c r="Q38" s="301"/>
    </row>
    <row r="39" spans="1:17" ht="13" thickBot="1">
      <c r="A39" s="275" t="s">
        <v>54</v>
      </c>
      <c r="B39" s="306">
        <f>SUM(B4:B38)</f>
        <v>85656.75</v>
      </c>
      <c r="C39" s="306">
        <f t="shared" ref="C39:N39" si="2">SUM(C4:C38)</f>
        <v>79029.27</v>
      </c>
      <c r="D39" s="306">
        <f t="shared" si="2"/>
        <v>74695.37</v>
      </c>
      <c r="E39" s="306">
        <f t="shared" si="2"/>
        <v>80524.84</v>
      </c>
      <c r="F39" s="306">
        <f t="shared" si="2"/>
        <v>128321.20000000001</v>
      </c>
      <c r="G39" s="306">
        <f t="shared" si="2"/>
        <v>131081.57</v>
      </c>
      <c r="H39" s="306">
        <f t="shared" si="2"/>
        <v>110054.52</v>
      </c>
      <c r="I39" s="306">
        <f t="shared" si="2"/>
        <v>187959.81999999998</v>
      </c>
      <c r="J39" s="306">
        <f t="shared" si="2"/>
        <v>114101.58000000002</v>
      </c>
      <c r="K39" s="306">
        <f t="shared" si="2"/>
        <v>119228.34999999999</v>
      </c>
      <c r="L39" s="306">
        <f t="shared" si="2"/>
        <v>177534.81</v>
      </c>
      <c r="M39" s="306">
        <f t="shared" si="2"/>
        <v>116466.66</v>
      </c>
      <c r="N39" s="306">
        <f t="shared" si="2"/>
        <v>1404654.74</v>
      </c>
      <c r="O39" s="96">
        <f>SUM('MTRT 2005'!B35:M35)</f>
        <v>1155172.3599999999</v>
      </c>
      <c r="P39" s="309">
        <f t="shared" si="1"/>
        <v>0.21596983154964011</v>
      </c>
      <c r="Q39" s="275" t="s">
        <v>54</v>
      </c>
    </row>
    <row r="40" spans="1:17">
      <c r="A40" s="276" t="s">
        <v>265</v>
      </c>
      <c r="B40" s="277">
        <f>B39/'MTRT 2005'!B35-1</f>
        <v>0.71958102141688363</v>
      </c>
      <c r="C40" s="277">
        <f>C39/'MTRT 2005'!C35-1</f>
        <v>0.25405683914775401</v>
      </c>
      <c r="D40" s="277">
        <f>D39/'MTRT 2005'!D35-1</f>
        <v>0.63850730848073289</v>
      </c>
      <c r="E40" s="277">
        <f>E39/'MTRT 2005'!E35-1</f>
        <v>0.37531280849595716</v>
      </c>
      <c r="F40" s="277">
        <f>F39/'MTRT 2005'!F35-1</f>
        <v>0.23876917385719487</v>
      </c>
      <c r="G40" s="277">
        <f>G39/'MTRT 2005'!G35-1</f>
        <v>0.45716100235646384</v>
      </c>
      <c r="H40" s="277">
        <f>H39/'MTRT 2005'!H35-1</f>
        <v>0.20309352326089347</v>
      </c>
      <c r="I40" s="277">
        <f>I39/'MTRT 2005'!I35-1</f>
        <v>0.26122364980463963</v>
      </c>
      <c r="J40" s="277">
        <f>J39/'MTRT 2005'!J35-1</f>
        <v>-0.11044086283390731</v>
      </c>
      <c r="K40" s="277">
        <f>K39/'MTRT 2005'!K35-1</f>
        <v>6.007893576311063E-2</v>
      </c>
      <c r="L40" s="277">
        <f>L39/'MTRT 2005'!L35-1</f>
        <v>0.18460097817512056</v>
      </c>
      <c r="M40" s="277">
        <f>M39/'MTRT 2005'!M35-1</f>
        <v>2.5730121582493437E-2</v>
      </c>
      <c r="N40" s="277">
        <f>N39/'MTRT 2005'!N35-1</f>
        <v>0.21596983154963989</v>
      </c>
      <c r="O40" s="1"/>
      <c r="P40" s="1"/>
      <c r="Q40" s="261" t="s">
        <v>272</v>
      </c>
    </row>
    <row r="42" spans="1:17">
      <c r="L42" s="100"/>
    </row>
    <row r="43" spans="1:17">
      <c r="L43" s="100"/>
    </row>
  </sheetData>
  <mergeCells count="1">
    <mergeCell ref="A1:P1"/>
  </mergeCells>
  <pageMargins left="0.75" right="0.75" top="1" bottom="1" header="0.5" footer="0.5"/>
  <pageSetup scale="72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 enableFormatConditionsCalculation="0">
    <tabColor rgb="FF00B050"/>
    <pageSetUpPr fitToPage="1"/>
  </sheetPr>
  <dimension ref="A1:Q43"/>
  <sheetViews>
    <sheetView workbookViewId="0">
      <selection activeCell="J52" sqref="J52"/>
    </sheetView>
  </sheetViews>
  <sheetFormatPr baseColWidth="10" defaultColWidth="8.83203125" defaultRowHeight="12" x14ac:dyDescent="0"/>
  <cols>
    <col min="1" max="1" width="14.5" customWidth="1"/>
  </cols>
  <sheetData>
    <row r="1" spans="1:17" ht="23">
      <c r="A1" s="711" t="s">
        <v>275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</row>
    <row r="2" spans="1:17" ht="13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3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310" t="s">
        <v>13</v>
      </c>
      <c r="N3" s="311" t="s">
        <v>74</v>
      </c>
      <c r="O3" s="251" t="s">
        <v>63</v>
      </c>
      <c r="P3" s="253" t="s">
        <v>16</v>
      </c>
    </row>
    <row r="4" spans="1:17">
      <c r="A4" s="261" t="s">
        <v>154</v>
      </c>
      <c r="B4" s="289"/>
      <c r="C4" s="288">
        <v>82.11</v>
      </c>
      <c r="D4" s="288">
        <v>116.91</v>
      </c>
      <c r="E4" s="289"/>
      <c r="F4" s="288">
        <v>151.24</v>
      </c>
      <c r="G4" s="289"/>
      <c r="H4" s="289"/>
      <c r="I4" s="288">
        <v>171.34</v>
      </c>
      <c r="J4" s="289"/>
      <c r="K4" s="289"/>
      <c r="L4" s="289"/>
      <c r="M4" s="312"/>
      <c r="N4" s="313">
        <f t="shared" ref="N4:N33" si="0">SUM(B4:M4)</f>
        <v>521.6</v>
      </c>
      <c r="O4" s="290" t="s">
        <v>46</v>
      </c>
      <c r="P4" s="314"/>
      <c r="Q4" s="261" t="s">
        <v>154</v>
      </c>
    </row>
    <row r="5" spans="1:17">
      <c r="A5" s="267" t="s">
        <v>156</v>
      </c>
      <c r="B5" s="19">
        <v>854.88</v>
      </c>
      <c r="C5" s="19">
        <v>922.06</v>
      </c>
      <c r="D5" s="19">
        <v>1064.27</v>
      </c>
      <c r="E5" s="19">
        <v>868.82</v>
      </c>
      <c r="F5" s="19">
        <v>1102.45</v>
      </c>
      <c r="G5" s="19">
        <v>919.49</v>
      </c>
      <c r="H5" s="19">
        <v>1144.1400000000001</v>
      </c>
      <c r="I5" s="19">
        <v>1681.58</v>
      </c>
      <c r="J5" s="19">
        <v>1554.38</v>
      </c>
      <c r="K5" s="19">
        <v>1430.11</v>
      </c>
      <c r="L5" s="19">
        <v>1719.01</v>
      </c>
      <c r="M5" s="51">
        <v>986.17</v>
      </c>
      <c r="N5" s="313">
        <f t="shared" si="0"/>
        <v>14247.36</v>
      </c>
      <c r="O5" s="19">
        <f>SUM('MTRT 2004'!B4:M4)</f>
        <v>14619.91</v>
      </c>
      <c r="P5" s="22">
        <f>N5/O5-1</f>
        <v>-2.5482373010504156E-2</v>
      </c>
      <c r="Q5" s="267" t="s">
        <v>156</v>
      </c>
    </row>
    <row r="6" spans="1:17">
      <c r="A6" s="267" t="s">
        <v>160</v>
      </c>
      <c r="B6" s="19"/>
      <c r="C6" s="19"/>
      <c r="D6" s="19"/>
      <c r="E6" s="19"/>
      <c r="F6" s="19"/>
      <c r="G6" s="19"/>
      <c r="H6" s="19"/>
      <c r="I6" s="19"/>
      <c r="J6" s="19"/>
      <c r="K6" s="19">
        <v>3566</v>
      </c>
      <c r="L6" s="19">
        <v>3566</v>
      </c>
      <c r="M6" s="51">
        <v>3566</v>
      </c>
      <c r="N6" s="313">
        <f>SUM(B6:M6)</f>
        <v>10698</v>
      </c>
      <c r="O6" s="19"/>
      <c r="P6" s="22"/>
      <c r="Q6" s="267"/>
    </row>
    <row r="7" spans="1:17">
      <c r="A7" s="267" t="s">
        <v>161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51">
        <v>1054.04</v>
      </c>
      <c r="N7" s="313">
        <f t="shared" si="0"/>
        <v>1054.04</v>
      </c>
      <c r="O7" s="39" t="s">
        <v>46</v>
      </c>
      <c r="P7" s="22"/>
      <c r="Q7" s="267" t="s">
        <v>161</v>
      </c>
    </row>
    <row r="8" spans="1:17">
      <c r="A8" s="267" t="s">
        <v>163</v>
      </c>
      <c r="B8" s="19">
        <v>3102.91</v>
      </c>
      <c r="C8" s="19">
        <v>3300.34</v>
      </c>
      <c r="D8" s="19">
        <v>2588.29</v>
      </c>
      <c r="E8" s="19">
        <v>342.77</v>
      </c>
      <c r="F8" s="19">
        <v>1718.03</v>
      </c>
      <c r="G8" s="19">
        <v>8122.3</v>
      </c>
      <c r="H8" s="19">
        <v>3808.87</v>
      </c>
      <c r="I8" s="19">
        <v>4265.51</v>
      </c>
      <c r="J8" s="19">
        <v>3433.92</v>
      </c>
      <c r="K8" s="19">
        <v>4077.85</v>
      </c>
      <c r="L8" s="19">
        <v>7250.52</v>
      </c>
      <c r="M8" s="51">
        <v>2085.09</v>
      </c>
      <c r="N8" s="313">
        <f t="shared" si="0"/>
        <v>44096.399999999994</v>
      </c>
      <c r="O8" s="19">
        <f>SUM('MTRT 2004'!B5:M5)</f>
        <v>44172.52</v>
      </c>
      <c r="P8" s="22">
        <f t="shared" ref="P8:P35" si="1">N8/O8-1</f>
        <v>-1.7232433196023855E-3</v>
      </c>
      <c r="Q8" s="267" t="s">
        <v>163</v>
      </c>
    </row>
    <row r="9" spans="1:17">
      <c r="A9" s="267" t="s">
        <v>168</v>
      </c>
      <c r="B9" s="111">
        <v>7100.95</v>
      </c>
      <c r="C9" s="111">
        <v>4930.84</v>
      </c>
      <c r="D9" s="111">
        <v>7412.88</v>
      </c>
      <c r="E9" s="111">
        <v>6176.27</v>
      </c>
      <c r="F9" s="111">
        <v>8551.82</v>
      </c>
      <c r="G9" s="111">
        <v>5837.48</v>
      </c>
      <c r="H9" s="111">
        <v>7425.26</v>
      </c>
      <c r="I9" s="111">
        <v>9777.17</v>
      </c>
      <c r="J9" s="111">
        <v>20420.740000000002</v>
      </c>
      <c r="K9" s="19">
        <v>10107.549999999999</v>
      </c>
      <c r="L9" s="19">
        <v>11404.64</v>
      </c>
      <c r="M9" s="51">
        <v>10587.25</v>
      </c>
      <c r="N9" s="313">
        <f>SUM(B9:M9)</f>
        <v>109732.85</v>
      </c>
      <c r="O9" s="19">
        <f>SUM('MTRT 2004'!B6:M6)</f>
        <v>83799.680000000008</v>
      </c>
      <c r="P9" s="22">
        <f t="shared" si="1"/>
        <v>0.30946621753209547</v>
      </c>
      <c r="Q9" s="267" t="s">
        <v>168</v>
      </c>
    </row>
    <row r="10" spans="1:17">
      <c r="A10" s="267" t="s">
        <v>174</v>
      </c>
      <c r="B10" s="19">
        <v>807.17</v>
      </c>
      <c r="C10" s="19">
        <v>602.02</v>
      </c>
      <c r="D10" s="19">
        <v>423.11</v>
      </c>
      <c r="E10" s="19">
        <v>358.45</v>
      </c>
      <c r="F10" s="19">
        <v>953.41</v>
      </c>
      <c r="G10" s="19"/>
      <c r="H10" s="19">
        <v>527.82000000000005</v>
      </c>
      <c r="I10" s="19">
        <v>1608.05</v>
      </c>
      <c r="J10" s="19">
        <v>725.99</v>
      </c>
      <c r="K10" s="19">
        <v>777.99</v>
      </c>
      <c r="L10" s="19">
        <v>476.99</v>
      </c>
      <c r="M10" s="51">
        <v>895.11</v>
      </c>
      <c r="N10" s="313">
        <f t="shared" si="0"/>
        <v>8156.1099999999988</v>
      </c>
      <c r="O10" s="19">
        <f>SUM('MTRT 2004'!B7:M7)</f>
        <v>6927.9699999999993</v>
      </c>
      <c r="P10" s="22">
        <f t="shared" si="1"/>
        <v>0.17727270758966895</v>
      </c>
      <c r="Q10" s="267" t="s">
        <v>174</v>
      </c>
    </row>
    <row r="11" spans="1:17">
      <c r="A11" s="267" t="s">
        <v>176</v>
      </c>
      <c r="B11" s="19">
        <v>2253.4</v>
      </c>
      <c r="C11" s="19">
        <v>2542.3000000000002</v>
      </c>
      <c r="D11" s="19">
        <v>912.36</v>
      </c>
      <c r="E11" s="19">
        <v>1549.54</v>
      </c>
      <c r="F11" s="19">
        <v>3914.72</v>
      </c>
      <c r="G11" s="19">
        <v>3103.59</v>
      </c>
      <c r="H11" s="19">
        <v>3998.36</v>
      </c>
      <c r="I11" s="19">
        <v>7669.99</v>
      </c>
      <c r="J11" s="19">
        <v>6133.21</v>
      </c>
      <c r="K11" s="19">
        <v>5325.54</v>
      </c>
      <c r="L11" s="19">
        <v>9729.7800000000007</v>
      </c>
      <c r="M11" s="51">
        <v>2084.19</v>
      </c>
      <c r="N11" s="313">
        <f t="shared" si="0"/>
        <v>49216.98</v>
      </c>
      <c r="O11" s="19">
        <f>SUM('MTRT 2004'!B8:M8)</f>
        <v>45294.81</v>
      </c>
      <c r="P11" s="22">
        <f t="shared" si="1"/>
        <v>8.6592040015180727E-2</v>
      </c>
      <c r="Q11" s="267" t="s">
        <v>176</v>
      </c>
    </row>
    <row r="12" spans="1:17">
      <c r="A12" s="267" t="s">
        <v>180</v>
      </c>
      <c r="B12" s="19">
        <v>7831.74</v>
      </c>
      <c r="C12" s="19">
        <v>14073.84</v>
      </c>
      <c r="D12" s="19">
        <v>4978.91</v>
      </c>
      <c r="E12" s="19">
        <v>5103.58</v>
      </c>
      <c r="F12" s="19">
        <v>39504.86</v>
      </c>
      <c r="G12" s="19">
        <v>26198.16</v>
      </c>
      <c r="H12" s="19">
        <v>34182.559999999998</v>
      </c>
      <c r="I12" s="19">
        <v>56669.82</v>
      </c>
      <c r="J12" s="19">
        <v>40996.25</v>
      </c>
      <c r="K12" s="19">
        <v>29703.14</v>
      </c>
      <c r="L12" s="19">
        <v>47077.09</v>
      </c>
      <c r="M12" s="51">
        <v>37139.019999999997</v>
      </c>
      <c r="N12" s="313">
        <f t="shared" si="0"/>
        <v>343458.97</v>
      </c>
      <c r="O12" s="19">
        <f>SUM('MTRT 2004'!B9:M9)</f>
        <v>326039.51</v>
      </c>
      <c r="P12" s="22">
        <f t="shared" si="1"/>
        <v>5.3427451169951734E-2</v>
      </c>
      <c r="Q12" s="267" t="s">
        <v>180</v>
      </c>
    </row>
    <row r="13" spans="1:17">
      <c r="A13" s="267" t="s">
        <v>262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51"/>
      <c r="N13" s="313">
        <f t="shared" si="0"/>
        <v>0</v>
      </c>
      <c r="O13" s="19">
        <f>SUM('MTRT 2004'!B10:K10)</f>
        <v>0</v>
      </c>
      <c r="P13" s="22" t="e">
        <f t="shared" si="1"/>
        <v>#DIV/0!</v>
      </c>
      <c r="Q13" s="267" t="s">
        <v>262</v>
      </c>
    </row>
    <row r="14" spans="1:17">
      <c r="A14" s="267" t="s">
        <v>196</v>
      </c>
      <c r="B14" s="19"/>
      <c r="C14" s="19"/>
      <c r="D14" s="19"/>
      <c r="E14" s="19"/>
      <c r="F14" s="19"/>
      <c r="G14" s="19"/>
      <c r="H14" s="19"/>
      <c r="I14" s="19"/>
      <c r="J14" s="19">
        <v>142.99</v>
      </c>
      <c r="K14" s="19"/>
      <c r="L14" s="19">
        <v>168.52</v>
      </c>
      <c r="M14" s="51">
        <v>77.12</v>
      </c>
      <c r="N14" s="313">
        <f t="shared" si="0"/>
        <v>388.63</v>
      </c>
      <c r="O14" s="39" t="s">
        <v>46</v>
      </c>
      <c r="P14" s="22"/>
      <c r="Q14" s="267" t="s">
        <v>196</v>
      </c>
    </row>
    <row r="15" spans="1:17">
      <c r="A15" s="267" t="s">
        <v>199</v>
      </c>
      <c r="B15" s="19">
        <v>1959.57</v>
      </c>
      <c r="C15" s="19">
        <v>5204.1099999999997</v>
      </c>
      <c r="D15" s="19">
        <v>3137.06</v>
      </c>
      <c r="E15" s="19">
        <v>3824.72</v>
      </c>
      <c r="F15" s="19">
        <v>3881.97</v>
      </c>
      <c r="G15" s="19">
        <v>2869.27</v>
      </c>
      <c r="H15" s="19">
        <v>2049.11</v>
      </c>
      <c r="I15" s="19">
        <v>1868.38</v>
      </c>
      <c r="J15" s="19">
        <v>2546.8200000000002</v>
      </c>
      <c r="K15" s="19">
        <v>2973.33</v>
      </c>
      <c r="L15" s="19">
        <v>2750.04</v>
      </c>
      <c r="M15" s="51">
        <v>2750.42</v>
      </c>
      <c r="N15" s="313">
        <f t="shared" si="0"/>
        <v>35814.800000000003</v>
      </c>
      <c r="O15" s="19">
        <f>SUM('MTRT 2004'!B11:M11)</f>
        <v>32235.03</v>
      </c>
      <c r="P15" s="22">
        <f t="shared" si="1"/>
        <v>0.11105216902233384</v>
      </c>
      <c r="Q15" s="267" t="s">
        <v>199</v>
      </c>
    </row>
    <row r="16" spans="1:17">
      <c r="A16" s="267" t="s">
        <v>204</v>
      </c>
      <c r="B16" s="19">
        <v>1937.23</v>
      </c>
      <c r="C16" s="19">
        <v>1351.08</v>
      </c>
      <c r="D16" s="19">
        <v>1276.58</v>
      </c>
      <c r="E16" s="19">
        <v>1218.28</v>
      </c>
      <c r="F16" s="19">
        <v>1817.33</v>
      </c>
      <c r="G16" s="19">
        <v>1831.08</v>
      </c>
      <c r="H16" s="19">
        <v>1854.44</v>
      </c>
      <c r="I16" s="19">
        <v>3773.92</v>
      </c>
      <c r="J16" s="19">
        <v>2710.89</v>
      </c>
      <c r="K16" s="19">
        <v>3383.84</v>
      </c>
      <c r="L16" s="19">
        <v>2221.1</v>
      </c>
      <c r="M16" s="51">
        <v>2648.14</v>
      </c>
      <c r="N16" s="313">
        <f t="shared" si="0"/>
        <v>26023.909999999996</v>
      </c>
      <c r="O16" s="19">
        <f>SUM('MTRT 2004'!B13:M13)</f>
        <v>23330.61</v>
      </c>
      <c r="P16" s="22">
        <f t="shared" si="1"/>
        <v>0.11544061642623138</v>
      </c>
      <c r="Q16" s="267" t="s">
        <v>204</v>
      </c>
    </row>
    <row r="17" spans="1:17">
      <c r="A17" s="267" t="s">
        <v>276</v>
      </c>
      <c r="B17" s="19">
        <v>761</v>
      </c>
      <c r="C17" s="19">
        <v>1114</v>
      </c>
      <c r="D17" s="19">
        <v>969</v>
      </c>
      <c r="E17" s="19">
        <v>1310</v>
      </c>
      <c r="F17" s="19">
        <v>1063</v>
      </c>
      <c r="G17" s="19">
        <v>931</v>
      </c>
      <c r="H17" s="19">
        <v>1357</v>
      </c>
      <c r="I17" s="19">
        <v>1727</v>
      </c>
      <c r="J17" s="19">
        <v>1587</v>
      </c>
      <c r="K17" s="19">
        <v>1003</v>
      </c>
      <c r="L17" s="19">
        <v>1114</v>
      </c>
      <c r="M17" s="51">
        <v>854</v>
      </c>
      <c r="N17" s="313">
        <f t="shared" si="0"/>
        <v>13790</v>
      </c>
      <c r="O17" s="19"/>
      <c r="P17" s="22"/>
      <c r="Q17" s="267"/>
    </row>
    <row r="18" spans="1:17">
      <c r="A18" s="267" t="s">
        <v>206</v>
      </c>
      <c r="B18" s="19">
        <v>8112</v>
      </c>
      <c r="C18" s="19">
        <v>8112</v>
      </c>
      <c r="D18" s="19">
        <v>8113</v>
      </c>
      <c r="E18" s="19">
        <v>9742</v>
      </c>
      <c r="F18" s="19">
        <v>9742</v>
      </c>
      <c r="G18" s="19">
        <v>9743</v>
      </c>
      <c r="H18" s="19">
        <v>0</v>
      </c>
      <c r="I18" s="19">
        <v>0</v>
      </c>
      <c r="J18" s="19">
        <v>0</v>
      </c>
      <c r="K18" s="19">
        <v>10459</v>
      </c>
      <c r="L18" s="19">
        <v>10459</v>
      </c>
      <c r="M18" s="51">
        <v>10460</v>
      </c>
      <c r="N18" s="313">
        <f>SUM(B18:M18)</f>
        <v>84942</v>
      </c>
      <c r="O18" s="19">
        <v>106985</v>
      </c>
      <c r="P18" s="22"/>
      <c r="Q18" s="267"/>
    </row>
    <row r="19" spans="1:17">
      <c r="A19" s="267" t="s">
        <v>208</v>
      </c>
      <c r="B19" s="19">
        <v>0</v>
      </c>
      <c r="C19" s="19">
        <v>1865.7</v>
      </c>
      <c r="D19" s="19">
        <v>496.48</v>
      </c>
      <c r="E19" s="19"/>
      <c r="F19" s="19">
        <v>2090.77</v>
      </c>
      <c r="G19" s="19">
        <v>4.18</v>
      </c>
      <c r="H19" s="19">
        <v>390.16</v>
      </c>
      <c r="I19" s="19">
        <v>5681.86</v>
      </c>
      <c r="J19" s="19">
        <v>722.54</v>
      </c>
      <c r="K19" s="19">
        <v>699.16</v>
      </c>
      <c r="L19" s="19">
        <v>4713.34</v>
      </c>
      <c r="M19" s="51">
        <v>643.64</v>
      </c>
      <c r="N19" s="313">
        <f t="shared" si="0"/>
        <v>17307.830000000002</v>
      </c>
      <c r="O19" s="19">
        <f>SUM('MTRT 2004'!B14:M14)</f>
        <v>15656.93</v>
      </c>
      <c r="P19" s="22">
        <f t="shared" si="1"/>
        <v>0.10544212690482757</v>
      </c>
      <c r="Q19" s="267" t="s">
        <v>208</v>
      </c>
    </row>
    <row r="20" spans="1:17">
      <c r="A20" s="267" t="s">
        <v>209</v>
      </c>
      <c r="B20" s="19">
        <v>17.670000000000002</v>
      </c>
      <c r="C20" s="19">
        <v>1375.11</v>
      </c>
      <c r="D20" s="19">
        <v>177.09</v>
      </c>
      <c r="E20" s="19">
        <v>676.76</v>
      </c>
      <c r="F20" s="19">
        <v>1561.45</v>
      </c>
      <c r="G20" s="19">
        <v>62.97</v>
      </c>
      <c r="H20" s="19">
        <v>69.44</v>
      </c>
      <c r="I20" s="19">
        <v>2881.68</v>
      </c>
      <c r="J20" s="19">
        <v>1764.91</v>
      </c>
      <c r="K20" s="19">
        <v>0</v>
      </c>
      <c r="L20" s="19">
        <v>5783.22</v>
      </c>
      <c r="M20" s="51">
        <v>547.67999999999995</v>
      </c>
      <c r="N20" s="313">
        <f t="shared" si="0"/>
        <v>14917.98</v>
      </c>
      <c r="O20" s="19">
        <f>SUM('MTRT 2004'!B15:M15)</f>
        <v>12328.94</v>
      </c>
      <c r="P20" s="22">
        <f t="shared" si="1"/>
        <v>0.20999696648698096</v>
      </c>
      <c r="Q20" s="267" t="s">
        <v>209</v>
      </c>
    </row>
    <row r="21" spans="1:17">
      <c r="A21" s="267" t="s">
        <v>213</v>
      </c>
      <c r="B21" s="19">
        <v>467</v>
      </c>
      <c r="C21" s="19">
        <v>467</v>
      </c>
      <c r="D21" s="19">
        <v>468</v>
      </c>
      <c r="E21" s="19">
        <v>1471</v>
      </c>
      <c r="F21" s="19">
        <v>1471</v>
      </c>
      <c r="G21" s="19">
        <v>1472</v>
      </c>
      <c r="H21" s="19">
        <v>2107</v>
      </c>
      <c r="I21" s="19">
        <v>2107</v>
      </c>
      <c r="J21" s="19">
        <v>2107</v>
      </c>
      <c r="K21" s="19">
        <v>1060</v>
      </c>
      <c r="L21" s="19">
        <v>1060</v>
      </c>
      <c r="M21" s="51">
        <v>1060</v>
      </c>
      <c r="N21" s="313">
        <f t="shared" si="0"/>
        <v>15317</v>
      </c>
      <c r="O21" s="19">
        <f>SUM('MTRT 2004'!B16:M16)</f>
        <v>17798.66</v>
      </c>
      <c r="P21" s="22" t="s">
        <v>46</v>
      </c>
      <c r="Q21" s="267" t="s">
        <v>213</v>
      </c>
    </row>
    <row r="22" spans="1:17">
      <c r="A22" s="267" t="s">
        <v>212</v>
      </c>
      <c r="B22" s="19">
        <v>2497</v>
      </c>
      <c r="C22" s="19">
        <v>2497</v>
      </c>
      <c r="D22" s="19">
        <v>2498</v>
      </c>
      <c r="E22" s="19">
        <v>4547</v>
      </c>
      <c r="F22" s="19">
        <v>4547</v>
      </c>
      <c r="G22" s="19">
        <v>4548</v>
      </c>
      <c r="H22" s="19">
        <v>6209</v>
      </c>
      <c r="I22" s="19">
        <v>6209</v>
      </c>
      <c r="J22" s="19">
        <v>6210</v>
      </c>
      <c r="K22" s="19">
        <v>2919</v>
      </c>
      <c r="L22" s="19">
        <v>2919</v>
      </c>
      <c r="M22" s="51">
        <v>2920</v>
      </c>
      <c r="N22" s="313">
        <f>SUM(B22:M22)</f>
        <v>48520</v>
      </c>
      <c r="O22" s="19">
        <f>SUM('MTRT 2004'!B17:M17)</f>
        <v>45511</v>
      </c>
      <c r="P22" s="22" t="s">
        <v>46</v>
      </c>
      <c r="Q22" s="267" t="s">
        <v>212</v>
      </c>
    </row>
    <row r="23" spans="1:17">
      <c r="A23" s="267" t="s">
        <v>223</v>
      </c>
      <c r="B23" s="19"/>
      <c r="C23" s="19"/>
      <c r="D23" s="19"/>
      <c r="E23" s="19"/>
      <c r="F23" s="19"/>
      <c r="G23" s="19"/>
      <c r="H23" s="19"/>
      <c r="I23" s="19">
        <v>93.03</v>
      </c>
      <c r="J23" s="19"/>
      <c r="K23" s="19"/>
      <c r="L23" s="19">
        <v>76.03</v>
      </c>
      <c r="M23" s="51"/>
      <c r="N23" s="313">
        <f t="shared" si="0"/>
        <v>169.06</v>
      </c>
      <c r="O23" s="19">
        <f>SUM('MTRT 2004'!B18:M18)</f>
        <v>136.52000000000001</v>
      </c>
      <c r="P23" s="22">
        <f t="shared" si="1"/>
        <v>0.23835335481980646</v>
      </c>
      <c r="Q23" s="267" t="s">
        <v>223</v>
      </c>
    </row>
    <row r="24" spans="1:17">
      <c r="A24" s="267" t="s">
        <v>216</v>
      </c>
      <c r="B24" s="19">
        <v>0</v>
      </c>
      <c r="C24" s="19">
        <v>321.85000000000002</v>
      </c>
      <c r="D24" s="19">
        <v>1062.4100000000001</v>
      </c>
      <c r="E24" s="19">
        <v>1652.61</v>
      </c>
      <c r="F24" s="19">
        <v>2322.1</v>
      </c>
      <c r="G24" s="19">
        <v>1552.69</v>
      </c>
      <c r="H24" s="19">
        <v>2319.0100000000002</v>
      </c>
      <c r="I24" s="19">
        <v>2005.01</v>
      </c>
      <c r="J24" s="19">
        <v>2054.64</v>
      </c>
      <c r="K24" s="19">
        <v>2278.69</v>
      </c>
      <c r="L24" s="19">
        <v>2468.31</v>
      </c>
      <c r="M24" s="51">
        <v>1929.87</v>
      </c>
      <c r="N24" s="313">
        <f t="shared" si="0"/>
        <v>19967.189999999999</v>
      </c>
      <c r="O24" s="19">
        <f>SUM('MTRT 2004'!B19:M19)</f>
        <v>13772.849999999999</v>
      </c>
      <c r="P24" s="22">
        <f t="shared" si="1"/>
        <v>0.44975005173221239</v>
      </c>
      <c r="Q24" s="267" t="s">
        <v>216</v>
      </c>
    </row>
    <row r="25" spans="1:17">
      <c r="A25" s="267" t="s">
        <v>224</v>
      </c>
      <c r="B25" s="19">
        <v>3223.21</v>
      </c>
      <c r="C25" s="19">
        <v>2928.49</v>
      </c>
      <c r="D25" s="19">
        <v>2126.96</v>
      </c>
      <c r="E25" s="19">
        <v>6301.32</v>
      </c>
      <c r="F25" s="19">
        <v>4609.8100000000004</v>
      </c>
      <c r="G25" s="19">
        <v>5701.29</v>
      </c>
      <c r="H25" s="19">
        <v>4839.4399999999996</v>
      </c>
      <c r="I25" s="19">
        <v>6102.33</v>
      </c>
      <c r="J25" s="19">
        <v>6342.29</v>
      </c>
      <c r="K25" s="19">
        <v>6906.1</v>
      </c>
      <c r="L25" s="19">
        <v>5033.42</v>
      </c>
      <c r="M25" s="51">
        <v>5266.35</v>
      </c>
      <c r="N25" s="313">
        <f t="shared" si="0"/>
        <v>59381.009999999995</v>
      </c>
      <c r="O25" s="19">
        <f>SUM('MTRT 2004'!B20:M20)</f>
        <v>51207.86</v>
      </c>
      <c r="P25" s="22">
        <f t="shared" si="1"/>
        <v>0.15960733371790958</v>
      </c>
      <c r="Q25" s="267" t="s">
        <v>224</v>
      </c>
    </row>
    <row r="26" spans="1:17">
      <c r="A26" s="267" t="s">
        <v>233</v>
      </c>
      <c r="B26" s="19">
        <v>888</v>
      </c>
      <c r="C26" s="19">
        <v>970</v>
      </c>
      <c r="D26" s="19">
        <v>2241</v>
      </c>
      <c r="E26" s="19">
        <v>2770</v>
      </c>
      <c r="F26" s="19">
        <v>2845</v>
      </c>
      <c r="G26" s="19">
        <v>1757</v>
      </c>
      <c r="H26" s="19">
        <v>1342</v>
      </c>
      <c r="I26" s="19">
        <v>1674</v>
      </c>
      <c r="J26" s="19">
        <v>1715</v>
      </c>
      <c r="K26" s="19">
        <v>2518</v>
      </c>
      <c r="L26" s="19">
        <v>1654</v>
      </c>
      <c r="M26" s="51">
        <v>892</v>
      </c>
      <c r="N26" s="313">
        <f t="shared" si="0"/>
        <v>21266</v>
      </c>
      <c r="O26" s="19"/>
      <c r="P26" s="22"/>
      <c r="Q26" s="267"/>
    </row>
    <row r="27" spans="1:17">
      <c r="A27" s="267" t="s">
        <v>227</v>
      </c>
      <c r="B27" s="19">
        <v>98</v>
      </c>
      <c r="C27" s="19">
        <v>98</v>
      </c>
      <c r="D27" s="19">
        <v>99</v>
      </c>
      <c r="E27" s="19">
        <v>446</v>
      </c>
      <c r="F27" s="19">
        <v>446</v>
      </c>
      <c r="G27" s="19">
        <v>447</v>
      </c>
      <c r="H27" s="19">
        <v>2641</v>
      </c>
      <c r="I27" s="19">
        <v>2642</v>
      </c>
      <c r="J27" s="19">
        <v>2642</v>
      </c>
      <c r="K27" s="19">
        <v>1231</v>
      </c>
      <c r="L27" s="19">
        <v>1232</v>
      </c>
      <c r="M27" s="51">
        <v>1232</v>
      </c>
      <c r="N27" s="313">
        <f t="shared" si="0"/>
        <v>13254</v>
      </c>
      <c r="O27" s="39">
        <v>20064</v>
      </c>
      <c r="P27" s="22"/>
      <c r="Q27" s="267" t="s">
        <v>227</v>
      </c>
    </row>
    <row r="28" spans="1:17">
      <c r="A28" s="267" t="s">
        <v>229</v>
      </c>
      <c r="B28" s="19">
        <v>608.09</v>
      </c>
      <c r="C28" s="19">
        <v>2360.4499999999998</v>
      </c>
      <c r="D28" s="19">
        <v>1402.61</v>
      </c>
      <c r="E28" s="19">
        <v>960.6</v>
      </c>
      <c r="F28" s="19">
        <v>1727.2</v>
      </c>
      <c r="G28" s="19">
        <v>3975.21</v>
      </c>
      <c r="H28" s="19">
        <v>809.98</v>
      </c>
      <c r="I28" s="19">
        <v>3315.62</v>
      </c>
      <c r="J28" s="19">
        <v>2161.16</v>
      </c>
      <c r="K28" s="19">
        <v>1480.58</v>
      </c>
      <c r="L28" s="19">
        <v>3757.07</v>
      </c>
      <c r="M28" s="51">
        <v>1584.99</v>
      </c>
      <c r="N28" s="313">
        <f t="shared" si="0"/>
        <v>24143.56</v>
      </c>
      <c r="O28" s="19">
        <f>SUM('MTRT 2004'!B22:M22)</f>
        <v>19200.54</v>
      </c>
      <c r="P28" s="22">
        <f t="shared" si="1"/>
        <v>0.25744171778502056</v>
      </c>
      <c r="Q28" s="267" t="s">
        <v>229</v>
      </c>
    </row>
    <row r="29" spans="1:17">
      <c r="A29" s="267" t="s">
        <v>230</v>
      </c>
      <c r="B29" s="19">
        <v>1501.02</v>
      </c>
      <c r="C29" s="19">
        <v>1227.8</v>
      </c>
      <c r="D29" s="19">
        <v>2539.4</v>
      </c>
      <c r="E29" s="19">
        <v>5482.3</v>
      </c>
      <c r="F29" s="19">
        <v>3128.01</v>
      </c>
      <c r="G29" s="19">
        <v>1805.58</v>
      </c>
      <c r="H29" s="19">
        <v>1885.4</v>
      </c>
      <c r="I29" s="19">
        <v>4672.3999999999996</v>
      </c>
      <c r="J29" s="19">
        <v>4369.43</v>
      </c>
      <c r="K29" s="19">
        <v>4240.9799999999996</v>
      </c>
      <c r="L29" s="19">
        <v>1019.71</v>
      </c>
      <c r="M29" s="51">
        <v>6663.99</v>
      </c>
      <c r="N29" s="313">
        <f t="shared" si="0"/>
        <v>38536.020000000004</v>
      </c>
      <c r="O29" s="19">
        <f>SUM('MTRT 2004'!B23:M23)</f>
        <v>32473.909999999996</v>
      </c>
      <c r="P29" s="22">
        <f t="shared" si="1"/>
        <v>0.18667631954390496</v>
      </c>
      <c r="Q29" s="267" t="s">
        <v>230</v>
      </c>
    </row>
    <row r="30" spans="1:17">
      <c r="A30" s="267" t="s">
        <v>237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51"/>
      <c r="N30" s="313">
        <f t="shared" si="0"/>
        <v>0</v>
      </c>
      <c r="O30" s="19">
        <f>SUM('MTRT 2004'!B24:M24)</f>
        <v>481.85</v>
      </c>
      <c r="P30" s="22" t="s">
        <v>46</v>
      </c>
      <c r="Q30" s="267" t="s">
        <v>237</v>
      </c>
    </row>
    <row r="31" spans="1:17">
      <c r="A31" s="267" t="s">
        <v>238</v>
      </c>
      <c r="B31" s="19">
        <v>4792.3</v>
      </c>
      <c r="C31" s="19">
        <v>5241.83</v>
      </c>
      <c r="D31" s="19">
        <v>1064.81</v>
      </c>
      <c r="E31" s="19">
        <v>3320.74</v>
      </c>
      <c r="F31" s="19">
        <v>5943.6</v>
      </c>
      <c r="G31" s="19">
        <v>8252.25</v>
      </c>
      <c r="H31" s="19">
        <v>11613.49</v>
      </c>
      <c r="I31" s="19">
        <v>18812.29</v>
      </c>
      <c r="J31" s="19">
        <v>16264.42</v>
      </c>
      <c r="K31" s="19">
        <v>14717.14</v>
      </c>
      <c r="L31" s="19">
        <v>18670.669999999998</v>
      </c>
      <c r="M31" s="51">
        <v>14607.87</v>
      </c>
      <c r="N31" s="313">
        <f t="shared" si="0"/>
        <v>123301.40999999999</v>
      </c>
      <c r="O31" s="19">
        <f>SUM('MTRT 2004'!B26:M26)</f>
        <v>116245.26999999999</v>
      </c>
      <c r="P31" s="22">
        <f t="shared" si="1"/>
        <v>6.0700448284906505E-2</v>
      </c>
      <c r="Q31" s="267" t="s">
        <v>238</v>
      </c>
    </row>
    <row r="32" spans="1:17">
      <c r="A32" s="267" t="s">
        <v>242</v>
      </c>
      <c r="B32" s="19"/>
      <c r="C32" s="19"/>
      <c r="D32" s="19"/>
      <c r="E32" s="19"/>
      <c r="F32" s="19">
        <v>39.57</v>
      </c>
      <c r="G32" s="19">
        <v>259.69</v>
      </c>
      <c r="H32" s="19"/>
      <c r="I32" s="19">
        <v>1273.6400000000001</v>
      </c>
      <c r="J32" s="19"/>
      <c r="K32" s="19">
        <v>0</v>
      </c>
      <c r="L32" s="19">
        <v>899.7</v>
      </c>
      <c r="M32" s="51"/>
      <c r="N32" s="313">
        <f t="shared" si="0"/>
        <v>2472.6000000000004</v>
      </c>
      <c r="O32" s="39" t="s">
        <v>46</v>
      </c>
      <c r="P32" s="22"/>
      <c r="Q32" s="267" t="s">
        <v>242</v>
      </c>
    </row>
    <row r="33" spans="1:17">
      <c r="A33" s="267" t="s">
        <v>244</v>
      </c>
      <c r="B33" s="19">
        <v>999.43</v>
      </c>
      <c r="C33" s="19">
        <v>1430.96</v>
      </c>
      <c r="D33" s="19">
        <v>419.32</v>
      </c>
      <c r="E33" s="19">
        <v>427.44</v>
      </c>
      <c r="F33" s="19">
        <v>455.32</v>
      </c>
      <c r="G33" s="19">
        <v>563.59</v>
      </c>
      <c r="H33" s="19">
        <v>902.8</v>
      </c>
      <c r="I33" s="19">
        <v>2347.11</v>
      </c>
      <c r="J33" s="19">
        <v>1661.98</v>
      </c>
      <c r="K33" s="19">
        <v>1613.2</v>
      </c>
      <c r="L33" s="19">
        <v>2645.71</v>
      </c>
      <c r="M33" s="51">
        <v>1010.19</v>
      </c>
      <c r="N33" s="313">
        <f t="shared" si="0"/>
        <v>14477.050000000001</v>
      </c>
      <c r="O33" s="19">
        <f>SUM('MTRT 2004'!B27:M27)</f>
        <v>14913.61</v>
      </c>
      <c r="P33" s="22" t="s">
        <v>46</v>
      </c>
      <c r="Q33" s="267" t="s">
        <v>244</v>
      </c>
    </row>
    <row r="34" spans="1:17">
      <c r="A34" s="301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15"/>
      <c r="N34" s="316"/>
      <c r="O34" s="302"/>
      <c r="P34" s="305"/>
      <c r="Q34" s="301"/>
    </row>
    <row r="35" spans="1:17" ht="13" thickBot="1">
      <c r="A35" s="275" t="s">
        <v>54</v>
      </c>
      <c r="B35" s="306">
        <f>SUM(B4:B33)</f>
        <v>49812.569999999992</v>
      </c>
      <c r="C35" s="306">
        <f>SUM(C4:C33)</f>
        <v>63018.89</v>
      </c>
      <c r="D35" s="306">
        <f>SUM(D4:D33)</f>
        <v>45587.450000000004</v>
      </c>
      <c r="E35" s="306">
        <f>SUM(E4:E34)</f>
        <v>58550.200000000004</v>
      </c>
      <c r="F35" s="306">
        <f>SUM(F4:F33)</f>
        <v>103587.66000000002</v>
      </c>
      <c r="G35" s="306">
        <f>SUM(G4:G33)</f>
        <v>89956.82</v>
      </c>
      <c r="H35" s="306">
        <f>SUM(H4:H33)</f>
        <v>91476.28</v>
      </c>
      <c r="I35" s="306">
        <f>SUM(I4:I33)</f>
        <v>149029.72999999998</v>
      </c>
      <c r="J35" s="306">
        <f>SUM(J5:J33)</f>
        <v>128267.56</v>
      </c>
      <c r="K35" s="306">
        <f>SUM(K5:K33)</f>
        <v>112471.20000000001</v>
      </c>
      <c r="L35" s="306">
        <f>SUM(L5:L33)</f>
        <v>149868.87000000002</v>
      </c>
      <c r="M35" s="306">
        <f>SUM(M5:M34)</f>
        <v>113545.12999999999</v>
      </c>
      <c r="N35" s="317">
        <f>SUM(N4:N33)</f>
        <v>1155172.3600000001</v>
      </c>
      <c r="O35" s="96">
        <f>SUM('MTRT 2004'!B30:M30)</f>
        <v>1074340.98</v>
      </c>
      <c r="P35" s="309">
        <f t="shared" si="1"/>
        <v>7.5238105503524721E-2</v>
      </c>
      <c r="Q35" s="275" t="s">
        <v>54</v>
      </c>
    </row>
    <row r="36" spans="1:17">
      <c r="A36" s="276" t="s">
        <v>265</v>
      </c>
      <c r="B36" s="318">
        <f>B35/'MTRT 2004'!B30-1</f>
        <v>0.15682414393391864</v>
      </c>
      <c r="C36" s="318">
        <f>C35/'MTRT 2004'!C30-1</f>
        <v>-2.848147222027797E-2</v>
      </c>
      <c r="D36" s="318">
        <f>D35/'MTRT 2004'!D30-1</f>
        <v>0.26935852181489151</v>
      </c>
      <c r="E36" s="318">
        <f>E35/'MTRT 2004'!E30-1</f>
        <v>-0.18751888960091545</v>
      </c>
      <c r="F36" s="318">
        <f>F35/'MTRT 2004'!F30-1</f>
        <v>0.20466932423257744</v>
      </c>
      <c r="G36" s="318">
        <f>G35/'MTRT 2004'!G30-1</f>
        <v>2.2695641793759824E-2</v>
      </c>
      <c r="H36" s="318">
        <f>H35/'MTRT 2004'!H30-1</f>
        <v>-3.3546226641146926E-2</v>
      </c>
      <c r="I36" s="318">
        <f>I35/'MTRT 2004'!I30-1</f>
        <v>-8.5758779259084927E-2</v>
      </c>
      <c r="J36" s="318">
        <f>J35/'MTRT 2004'!J30-1</f>
        <v>0.47045152444599103</v>
      </c>
      <c r="K36" s="318">
        <f>K35/'MTRT 2004'!K30-1</f>
        <v>0.10735302327188756</v>
      </c>
      <c r="L36" s="318">
        <f>L35/'MTRT 2004'!L30-1</f>
        <v>9.2935674923314782E-2</v>
      </c>
      <c r="M36" s="318">
        <f>M35/'MTRT 2004'!M30-1</f>
        <v>0.12526484003557781</v>
      </c>
      <c r="N36" s="318">
        <f>N35/'MTRT 2004'!N30-1</f>
        <v>7.5238105503524721E-2</v>
      </c>
      <c r="O36" s="1"/>
      <c r="P36" s="1"/>
      <c r="Q36" s="261" t="s">
        <v>272</v>
      </c>
    </row>
    <row r="43" spans="1:17">
      <c r="K43" s="100"/>
    </row>
  </sheetData>
  <mergeCells count="1">
    <mergeCell ref="A1:P1"/>
  </mergeCells>
  <pageMargins left="0.75" right="0.75" top="1" bottom="1" header="0.5" footer="0.5"/>
  <pageSetup scale="72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 enableFormatConditionsCalculation="0">
    <tabColor rgb="FF00B050"/>
  </sheetPr>
  <dimension ref="A1:P31"/>
  <sheetViews>
    <sheetView topLeftCell="A3" workbookViewId="0">
      <selection activeCell="J52" sqref="J52"/>
    </sheetView>
  </sheetViews>
  <sheetFormatPr baseColWidth="10" defaultColWidth="8.83203125" defaultRowHeight="12" x14ac:dyDescent="0"/>
  <cols>
    <col min="1" max="1" width="13.5" customWidth="1"/>
  </cols>
  <sheetData>
    <row r="1" spans="1:16" ht="23">
      <c r="A1" s="711" t="s">
        <v>277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</row>
    <row r="2" spans="1:16" ht="13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310" t="s">
        <v>13</v>
      </c>
      <c r="N3" s="311" t="s">
        <v>63</v>
      </c>
      <c r="O3" s="251" t="s">
        <v>47</v>
      </c>
      <c r="P3" s="253" t="s">
        <v>16</v>
      </c>
    </row>
    <row r="4" spans="1:16">
      <c r="A4" s="267" t="s">
        <v>156</v>
      </c>
      <c r="B4" s="19">
        <v>801.24</v>
      </c>
      <c r="C4" s="19">
        <v>1516.31</v>
      </c>
      <c r="D4" s="19">
        <v>822.29</v>
      </c>
      <c r="E4" s="19">
        <v>798.22</v>
      </c>
      <c r="F4" s="19">
        <v>1016.6</v>
      </c>
      <c r="G4" s="19">
        <v>928.19</v>
      </c>
      <c r="H4" s="19">
        <v>1005.61</v>
      </c>
      <c r="I4" s="19">
        <v>1576.27</v>
      </c>
      <c r="J4" s="19">
        <v>1092.1500000000001</v>
      </c>
      <c r="K4" s="19">
        <v>2351.11</v>
      </c>
      <c r="L4" s="19">
        <v>1535.68</v>
      </c>
      <c r="M4" s="51">
        <v>1176.24</v>
      </c>
      <c r="N4" s="313">
        <f t="shared" ref="N4:N28" si="0">SUM(B4:M4)</f>
        <v>14619.91</v>
      </c>
      <c r="O4" s="19">
        <f>SUM('MTRT 2003'!B4:M4)</f>
        <v>14752.889999999998</v>
      </c>
      <c r="P4" s="22">
        <f>N4/O4-1</f>
        <v>-9.0138271213299204E-3</v>
      </c>
    </row>
    <row r="5" spans="1:16">
      <c r="A5" s="267" t="s">
        <v>163</v>
      </c>
      <c r="B5" s="19">
        <v>2090.3000000000002</v>
      </c>
      <c r="C5" s="19">
        <v>2394.94</v>
      </c>
      <c r="D5" s="19">
        <v>1538.01</v>
      </c>
      <c r="E5" s="19">
        <v>1865.75</v>
      </c>
      <c r="F5" s="19">
        <v>3802.34</v>
      </c>
      <c r="G5" s="19">
        <v>2704.17</v>
      </c>
      <c r="H5" s="19">
        <v>3270.28</v>
      </c>
      <c r="I5" s="19">
        <v>6809.53</v>
      </c>
      <c r="J5" s="19">
        <v>4300.2700000000004</v>
      </c>
      <c r="K5" s="19">
        <v>4941.66</v>
      </c>
      <c r="L5" s="19">
        <v>5882.23</v>
      </c>
      <c r="M5" s="51">
        <v>4573.04</v>
      </c>
      <c r="N5" s="313">
        <f t="shared" si="0"/>
        <v>44172.52</v>
      </c>
      <c r="O5" s="19">
        <f>SUM('MTRT 2003'!B5:M5)</f>
        <v>39167.350000000006</v>
      </c>
      <c r="P5" s="22">
        <f t="shared" ref="P5:P30" si="1">N5/O5-1</f>
        <v>0.12778934495185368</v>
      </c>
    </row>
    <row r="6" spans="1:16">
      <c r="A6" s="267" t="s">
        <v>168</v>
      </c>
      <c r="B6" s="111"/>
      <c r="C6" s="111"/>
      <c r="D6" s="111"/>
      <c r="E6" s="111">
        <v>4082.36</v>
      </c>
      <c r="F6" s="111">
        <v>8034.8</v>
      </c>
      <c r="G6" s="111">
        <v>5033.6099999999997</v>
      </c>
      <c r="H6" s="111">
        <v>17622.419999999998</v>
      </c>
      <c r="I6" s="111">
        <v>10108.68</v>
      </c>
      <c r="J6" s="111">
        <v>6643.14</v>
      </c>
      <c r="K6" s="19">
        <v>10753.42</v>
      </c>
      <c r="L6" s="19">
        <v>6359.56</v>
      </c>
      <c r="M6" s="51">
        <v>15161.69</v>
      </c>
      <c r="N6" s="313">
        <f>SUM(B6:M6)</f>
        <v>83799.680000000008</v>
      </c>
      <c r="O6" s="39" t="s">
        <v>46</v>
      </c>
      <c r="P6" s="22" t="s">
        <v>46</v>
      </c>
    </row>
    <row r="7" spans="1:16">
      <c r="A7" s="267" t="s">
        <v>174</v>
      </c>
      <c r="B7" s="19">
        <v>512.91999999999996</v>
      </c>
      <c r="C7" s="19">
        <v>606.11</v>
      </c>
      <c r="D7" s="19">
        <v>370.42</v>
      </c>
      <c r="E7" s="19">
        <v>324.27</v>
      </c>
      <c r="F7" s="19">
        <v>541.26</v>
      </c>
      <c r="G7" s="19">
        <v>363.79</v>
      </c>
      <c r="H7" s="19">
        <v>489.44</v>
      </c>
      <c r="I7" s="19">
        <v>831.69</v>
      </c>
      <c r="J7" s="19">
        <v>709.16</v>
      </c>
      <c r="K7" s="19">
        <v>655.19000000000005</v>
      </c>
      <c r="L7" s="19">
        <v>960.53</v>
      </c>
      <c r="M7" s="51">
        <v>563.19000000000005</v>
      </c>
      <c r="N7" s="313">
        <f t="shared" si="0"/>
        <v>6927.9699999999993</v>
      </c>
      <c r="O7" s="19">
        <f>SUM('MTRT 2003'!B6:M6)</f>
        <v>5837</v>
      </c>
      <c r="P7" s="22">
        <f t="shared" si="1"/>
        <v>0.18690594483467526</v>
      </c>
    </row>
    <row r="8" spans="1:16">
      <c r="A8" s="267" t="s">
        <v>176</v>
      </c>
      <c r="B8" s="19">
        <v>1613.45</v>
      </c>
      <c r="C8" s="19">
        <v>2505.0100000000002</v>
      </c>
      <c r="D8" s="19">
        <v>1117.3599999999999</v>
      </c>
      <c r="E8" s="19">
        <v>866.75</v>
      </c>
      <c r="F8" s="19">
        <v>3063.07</v>
      </c>
      <c r="G8" s="19">
        <v>3647.41</v>
      </c>
      <c r="H8" s="19">
        <v>4108.66</v>
      </c>
      <c r="I8" s="19">
        <v>7664.02</v>
      </c>
      <c r="J8" s="19">
        <v>5017.8999999999996</v>
      </c>
      <c r="K8" s="19">
        <v>4703.4799999999996</v>
      </c>
      <c r="L8" s="19">
        <v>8585.25</v>
      </c>
      <c r="M8" s="51">
        <v>2402.4499999999998</v>
      </c>
      <c r="N8" s="313">
        <f t="shared" si="0"/>
        <v>45294.81</v>
      </c>
      <c r="O8" s="19">
        <f>SUM('MTRT 2003'!B7:M7)</f>
        <v>36679.439999999995</v>
      </c>
      <c r="P8" s="22">
        <f t="shared" si="1"/>
        <v>0.23488281173322179</v>
      </c>
    </row>
    <row r="9" spans="1:16">
      <c r="A9" s="267" t="s">
        <v>180</v>
      </c>
      <c r="B9" s="19">
        <v>8446.15</v>
      </c>
      <c r="C9" s="19">
        <v>12745.22</v>
      </c>
      <c r="D9" s="19">
        <v>3869.34</v>
      </c>
      <c r="E9" s="19">
        <v>23612.27</v>
      </c>
      <c r="F9" s="19">
        <v>23614.99</v>
      </c>
      <c r="G9" s="19">
        <v>36517.75</v>
      </c>
      <c r="H9" s="19">
        <v>28444.49</v>
      </c>
      <c r="I9" s="19">
        <v>55744.47</v>
      </c>
      <c r="J9" s="19">
        <v>20549.55</v>
      </c>
      <c r="K9" s="19">
        <v>28735.53</v>
      </c>
      <c r="L9" s="19">
        <v>49523.28</v>
      </c>
      <c r="M9" s="51">
        <v>34236.47</v>
      </c>
      <c r="N9" s="313">
        <f t="shared" si="0"/>
        <v>326039.51</v>
      </c>
      <c r="O9" s="19">
        <f>SUM('MTRT 2003'!B8:M8)</f>
        <v>292469.16000000003</v>
      </c>
      <c r="P9" s="22">
        <f t="shared" si="1"/>
        <v>0.11478252954944024</v>
      </c>
    </row>
    <row r="10" spans="1:16">
      <c r="A10" s="267" t="s">
        <v>262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51"/>
      <c r="N10" s="313">
        <f t="shared" si="0"/>
        <v>0</v>
      </c>
      <c r="O10" s="19">
        <f>SUM('MTRT 2003'!B9:M9)</f>
        <v>7660.64</v>
      </c>
      <c r="P10" s="22">
        <f t="shared" si="1"/>
        <v>-1</v>
      </c>
    </row>
    <row r="11" spans="1:16">
      <c r="A11" s="267" t="s">
        <v>199</v>
      </c>
      <c r="B11" s="19">
        <v>1848.53</v>
      </c>
      <c r="C11" s="19">
        <v>4111.46</v>
      </c>
      <c r="D11" s="19">
        <v>2878.11</v>
      </c>
      <c r="E11" s="19">
        <v>3558.7</v>
      </c>
      <c r="F11" s="19">
        <v>3299.6</v>
      </c>
      <c r="G11" s="19">
        <v>2305.86</v>
      </c>
      <c r="H11" s="19">
        <v>1822.53</v>
      </c>
      <c r="I11" s="19">
        <v>2207.3000000000002</v>
      </c>
      <c r="J11" s="19">
        <v>2519.54</v>
      </c>
      <c r="K11" s="19">
        <v>2762.15</v>
      </c>
      <c r="L11" s="19">
        <v>2298.16</v>
      </c>
      <c r="M11" s="51">
        <v>2623.09</v>
      </c>
      <c r="N11" s="313">
        <f t="shared" si="0"/>
        <v>32235.03</v>
      </c>
      <c r="O11" s="19">
        <f>SUM('MTRT 2003'!B10:M10)</f>
        <v>25524.440000000002</v>
      </c>
      <c r="P11" s="22">
        <f t="shared" si="1"/>
        <v>0.26290841248622865</v>
      </c>
    </row>
    <row r="12" spans="1:16">
      <c r="A12" s="267" t="s">
        <v>276</v>
      </c>
      <c r="B12" s="19">
        <v>767</v>
      </c>
      <c r="C12" s="19">
        <v>693</v>
      </c>
      <c r="D12" s="19"/>
      <c r="E12" s="19">
        <v>803</v>
      </c>
      <c r="F12" s="19">
        <v>928</v>
      </c>
      <c r="G12" s="19">
        <v>930</v>
      </c>
      <c r="H12" s="19">
        <v>1215</v>
      </c>
      <c r="I12" s="19">
        <v>1511</v>
      </c>
      <c r="J12" s="19">
        <v>755</v>
      </c>
      <c r="K12" s="19">
        <v>1701</v>
      </c>
      <c r="L12" s="19">
        <v>959</v>
      </c>
      <c r="M12" s="51">
        <v>883</v>
      </c>
      <c r="N12" s="313">
        <f>SUM(B12:M12)</f>
        <v>11145</v>
      </c>
      <c r="O12" s="19"/>
      <c r="P12" s="22"/>
    </row>
    <row r="13" spans="1:16">
      <c r="A13" s="267" t="s">
        <v>204</v>
      </c>
      <c r="B13" s="19">
        <v>1418.67</v>
      </c>
      <c r="C13" s="19">
        <v>1966.55</v>
      </c>
      <c r="D13" s="19">
        <v>1925.08</v>
      </c>
      <c r="E13" s="19">
        <v>2305.0100000000002</v>
      </c>
      <c r="F13" s="19">
        <v>2260.44</v>
      </c>
      <c r="G13" s="19">
        <v>1919.65</v>
      </c>
      <c r="H13" s="19">
        <v>1118.9100000000001</v>
      </c>
      <c r="I13" s="19">
        <v>2671.17</v>
      </c>
      <c r="J13" s="19">
        <v>1878.43</v>
      </c>
      <c r="K13" s="19">
        <v>2302.3200000000002</v>
      </c>
      <c r="L13" s="19">
        <v>1626.9</v>
      </c>
      <c r="M13" s="51">
        <v>1937.48</v>
      </c>
      <c r="N13" s="313">
        <f t="shared" si="0"/>
        <v>23330.61</v>
      </c>
      <c r="O13" s="19">
        <f>SUM('MTRT 2003'!B11:M11)</f>
        <v>22319.670000000002</v>
      </c>
      <c r="P13" s="22">
        <f t="shared" si="1"/>
        <v>4.529368041731785E-2</v>
      </c>
    </row>
    <row r="14" spans="1:16">
      <c r="A14" s="267" t="s">
        <v>208</v>
      </c>
      <c r="B14" s="19"/>
      <c r="C14" s="19">
        <v>2391.7199999999998</v>
      </c>
      <c r="D14" s="19">
        <v>102.29</v>
      </c>
      <c r="E14" s="19"/>
      <c r="F14" s="19">
        <v>1821.59</v>
      </c>
      <c r="G14" s="19">
        <v>3.15</v>
      </c>
      <c r="H14" s="19"/>
      <c r="I14" s="19">
        <v>5273.41</v>
      </c>
      <c r="J14" s="19"/>
      <c r="K14" s="19"/>
      <c r="L14" s="19">
        <v>5284.76</v>
      </c>
      <c r="M14" s="51">
        <v>780.01</v>
      </c>
      <c r="N14" s="313">
        <f t="shared" si="0"/>
        <v>15656.93</v>
      </c>
      <c r="O14" s="19">
        <f>SUM('MTRT 2003'!B12:M12)</f>
        <v>14415.22</v>
      </c>
      <c r="P14" s="22">
        <f t="shared" si="1"/>
        <v>8.6138817166855564E-2</v>
      </c>
    </row>
    <row r="15" spans="1:16">
      <c r="A15" s="267" t="s">
        <v>209</v>
      </c>
      <c r="B15" s="19">
        <v>35.67</v>
      </c>
      <c r="C15" s="19">
        <v>540.04</v>
      </c>
      <c r="D15" s="19"/>
      <c r="E15" s="19">
        <v>995.1</v>
      </c>
      <c r="F15" s="19">
        <v>1243.79</v>
      </c>
      <c r="G15" s="19">
        <v>678.13</v>
      </c>
      <c r="H15" s="19">
        <v>322.11</v>
      </c>
      <c r="I15" s="19">
        <v>3785.13</v>
      </c>
      <c r="J15" s="19">
        <v>112.06</v>
      </c>
      <c r="K15" s="19">
        <v>16.71</v>
      </c>
      <c r="L15" s="19">
        <v>4600.2</v>
      </c>
      <c r="M15" s="51"/>
      <c r="N15" s="313">
        <f t="shared" si="0"/>
        <v>12328.94</v>
      </c>
      <c r="O15" s="19">
        <f>SUM('MTRT 2003'!B13:M13)</f>
        <v>10127.700000000001</v>
      </c>
      <c r="P15" s="22">
        <f t="shared" si="1"/>
        <v>0.21734846016370946</v>
      </c>
    </row>
    <row r="16" spans="1:16">
      <c r="A16" s="267" t="s">
        <v>213</v>
      </c>
      <c r="B16" s="19">
        <v>620.22</v>
      </c>
      <c r="C16" s="19">
        <v>620</v>
      </c>
      <c r="D16" s="19">
        <v>620</v>
      </c>
      <c r="E16" s="19">
        <v>2662.72</v>
      </c>
      <c r="F16" s="19">
        <v>2662.72</v>
      </c>
      <c r="G16" s="19">
        <v>2662</v>
      </c>
      <c r="H16" s="19">
        <v>1893</v>
      </c>
      <c r="I16" s="19">
        <v>1893</v>
      </c>
      <c r="J16" s="19">
        <v>1892</v>
      </c>
      <c r="K16" s="19">
        <v>758</v>
      </c>
      <c r="L16" s="19">
        <v>758</v>
      </c>
      <c r="M16" s="51">
        <v>757</v>
      </c>
      <c r="N16" s="313">
        <f t="shared" si="0"/>
        <v>17798.66</v>
      </c>
      <c r="O16" s="19">
        <f>SUM('MTRT 2003'!B14:M14)</f>
        <v>0</v>
      </c>
      <c r="P16" s="22" t="s">
        <v>46</v>
      </c>
    </row>
    <row r="17" spans="1:16">
      <c r="A17" s="267" t="s">
        <v>212</v>
      </c>
      <c r="B17" s="19">
        <v>2363</v>
      </c>
      <c r="C17" s="19">
        <v>2363</v>
      </c>
      <c r="D17" s="19">
        <v>2364</v>
      </c>
      <c r="E17" s="19">
        <v>4323</v>
      </c>
      <c r="F17" s="19">
        <v>4323</v>
      </c>
      <c r="G17" s="19">
        <v>4324</v>
      </c>
      <c r="H17" s="19">
        <v>5659</v>
      </c>
      <c r="I17" s="19">
        <v>5659</v>
      </c>
      <c r="J17" s="19">
        <v>5660</v>
      </c>
      <c r="K17" s="19">
        <v>2824</v>
      </c>
      <c r="L17" s="19">
        <v>2824</v>
      </c>
      <c r="M17" s="51">
        <v>2825</v>
      </c>
      <c r="N17" s="313">
        <f>SUM(B17:M17)</f>
        <v>45511</v>
      </c>
      <c r="O17" s="19">
        <f>SUM('MTRT 2003'!B15:M15)</f>
        <v>672.31</v>
      </c>
      <c r="P17" s="22">
        <f>N17/O17-1</f>
        <v>66.693474736356748</v>
      </c>
    </row>
    <row r="18" spans="1:16">
      <c r="A18" s="267" t="s">
        <v>223</v>
      </c>
      <c r="B18" s="19"/>
      <c r="C18" s="19"/>
      <c r="D18" s="19">
        <v>72.64</v>
      </c>
      <c r="E18" s="19"/>
      <c r="F18" s="19">
        <v>63.88</v>
      </c>
      <c r="G18" s="19"/>
      <c r="H18" s="19"/>
      <c r="I18" s="19"/>
      <c r="J18" s="19"/>
      <c r="K18" s="19"/>
      <c r="L18" s="19"/>
      <c r="M18" s="51"/>
      <c r="N18" s="313">
        <f t="shared" si="0"/>
        <v>136.52000000000001</v>
      </c>
      <c r="O18" s="19">
        <f>SUM('MTRT 2003'!B16:M16)</f>
        <v>434.08000000000004</v>
      </c>
      <c r="P18" s="22">
        <f t="shared" si="1"/>
        <v>-0.68549576115001842</v>
      </c>
    </row>
    <row r="19" spans="1:16">
      <c r="A19" s="267" t="s">
        <v>216</v>
      </c>
      <c r="B19" s="19">
        <v>1471.35</v>
      </c>
      <c r="C19" s="19">
        <v>1988.09</v>
      </c>
      <c r="D19" s="19">
        <v>253.7</v>
      </c>
      <c r="E19" s="19">
        <v>219.92</v>
      </c>
      <c r="F19" s="19"/>
      <c r="G19" s="19">
        <v>530.80999999999995</v>
      </c>
      <c r="H19" s="19">
        <v>485.56</v>
      </c>
      <c r="I19" s="19">
        <v>4195.12</v>
      </c>
      <c r="J19" s="19"/>
      <c r="K19" s="19"/>
      <c r="L19" s="19">
        <v>4628.3</v>
      </c>
      <c r="M19" s="51"/>
      <c r="N19" s="313">
        <f t="shared" si="0"/>
        <v>13772.849999999999</v>
      </c>
      <c r="O19" s="19">
        <f>SUM('MTRT 2003'!B17:M17)</f>
        <v>615.66000000000008</v>
      </c>
      <c r="P19" s="22">
        <f t="shared" si="1"/>
        <v>21.370870285547213</v>
      </c>
    </row>
    <row r="20" spans="1:16">
      <c r="A20" s="267" t="s">
        <v>224</v>
      </c>
      <c r="B20" s="19">
        <v>4923.1099999999997</v>
      </c>
      <c r="C20" s="19">
        <v>3085.19</v>
      </c>
      <c r="D20" s="19">
        <v>3898.07</v>
      </c>
      <c r="E20" s="19">
        <v>3158.2</v>
      </c>
      <c r="F20" s="19">
        <v>4067.61</v>
      </c>
      <c r="G20" s="19">
        <v>4950.2299999999996</v>
      </c>
      <c r="H20" s="19">
        <v>3650.17</v>
      </c>
      <c r="I20" s="19">
        <v>5045.03</v>
      </c>
      <c r="J20" s="19">
        <v>6103.07</v>
      </c>
      <c r="K20" s="19">
        <v>5930.84</v>
      </c>
      <c r="L20" s="19">
        <v>2026.39</v>
      </c>
      <c r="M20" s="51">
        <v>4369.95</v>
      </c>
      <c r="N20" s="313">
        <f t="shared" si="0"/>
        <v>51207.86</v>
      </c>
      <c r="O20" s="19">
        <f>SUM('MTRT 2003'!B18:M18)</f>
        <v>44661.17</v>
      </c>
      <c r="P20" s="22">
        <f t="shared" si="1"/>
        <v>0.14658572536277048</v>
      </c>
    </row>
    <row r="21" spans="1:16">
      <c r="A21" s="267" t="s">
        <v>227</v>
      </c>
      <c r="B21" s="19">
        <v>1075</v>
      </c>
      <c r="C21" s="19">
        <v>1075</v>
      </c>
      <c r="D21" s="19">
        <v>1076</v>
      </c>
      <c r="E21" s="19">
        <v>1070</v>
      </c>
      <c r="F21" s="19">
        <v>1070</v>
      </c>
      <c r="G21" s="19">
        <v>1070</v>
      </c>
      <c r="H21" s="19">
        <v>1861</v>
      </c>
      <c r="I21" s="19">
        <v>1861</v>
      </c>
      <c r="J21" s="19">
        <v>1862</v>
      </c>
      <c r="K21" s="19">
        <v>2681</v>
      </c>
      <c r="L21" s="19">
        <v>2681</v>
      </c>
      <c r="M21" s="51">
        <v>2682</v>
      </c>
      <c r="N21" s="313">
        <f t="shared" si="0"/>
        <v>20064</v>
      </c>
      <c r="O21" s="19"/>
      <c r="P21" s="22"/>
    </row>
    <row r="22" spans="1:16">
      <c r="A22" s="267" t="s">
        <v>229</v>
      </c>
      <c r="B22" s="19">
        <v>454.48</v>
      </c>
      <c r="C22" s="19">
        <v>2865.14</v>
      </c>
      <c r="D22" s="19">
        <v>1273.08</v>
      </c>
      <c r="E22" s="19">
        <v>1815.68</v>
      </c>
      <c r="F22" s="19">
        <v>1223.45</v>
      </c>
      <c r="G22" s="19">
        <v>639.69000000000005</v>
      </c>
      <c r="H22" s="19">
        <v>1398.18</v>
      </c>
      <c r="I22" s="19">
        <v>2379.02</v>
      </c>
      <c r="J22" s="19">
        <v>1400.84</v>
      </c>
      <c r="K22" s="19">
        <v>1185.21</v>
      </c>
      <c r="L22" s="19">
        <v>3266.11</v>
      </c>
      <c r="M22" s="51">
        <v>1299.6600000000001</v>
      </c>
      <c r="N22" s="313">
        <f t="shared" si="0"/>
        <v>19200.54</v>
      </c>
      <c r="O22" s="19">
        <f>SUM('MTRT 2003'!B19:M19)</f>
        <v>16032.41</v>
      </c>
      <c r="P22" s="22">
        <f t="shared" si="1"/>
        <v>0.19760784560774081</v>
      </c>
    </row>
    <row r="23" spans="1:16">
      <c r="A23" s="267" t="s">
        <v>230</v>
      </c>
      <c r="B23" s="19">
        <v>1026.3699999999999</v>
      </c>
      <c r="C23" s="19">
        <v>2438.5500000000002</v>
      </c>
      <c r="D23" s="19">
        <v>2095.06</v>
      </c>
      <c r="E23" s="19">
        <v>3290.85</v>
      </c>
      <c r="F23" s="19">
        <v>2367.2199999999998</v>
      </c>
      <c r="G23" s="19">
        <v>1386.54</v>
      </c>
      <c r="H23" s="19">
        <v>2062.34</v>
      </c>
      <c r="I23" s="19">
        <v>4166.1899999999996</v>
      </c>
      <c r="J23" s="19">
        <v>4081.46</v>
      </c>
      <c r="K23" s="19">
        <v>3834.16</v>
      </c>
      <c r="L23" s="19">
        <v>3902.05</v>
      </c>
      <c r="M23" s="51">
        <v>1823.12</v>
      </c>
      <c r="N23" s="313">
        <f t="shared" si="0"/>
        <v>32473.909999999996</v>
      </c>
      <c r="O23" s="19">
        <f>SUM('MTRT 2003'!B20:M20)</f>
        <v>34274.19</v>
      </c>
      <c r="P23" s="22">
        <f t="shared" si="1"/>
        <v>-5.2525821908555814E-2</v>
      </c>
    </row>
    <row r="24" spans="1:16">
      <c r="A24" s="267" t="s">
        <v>237</v>
      </c>
      <c r="B24" s="19"/>
      <c r="C24" s="19">
        <v>165.1</v>
      </c>
      <c r="D24" s="19"/>
      <c r="E24" s="19"/>
      <c r="F24" s="19"/>
      <c r="G24" s="19"/>
      <c r="H24" s="19">
        <v>164.52</v>
      </c>
      <c r="I24" s="19">
        <v>138.22999999999999</v>
      </c>
      <c r="J24" s="19">
        <v>14</v>
      </c>
      <c r="K24" s="19"/>
      <c r="L24" s="19">
        <v>0</v>
      </c>
      <c r="M24" s="51"/>
      <c r="N24" s="313">
        <f t="shared" si="0"/>
        <v>481.85</v>
      </c>
      <c r="O24" s="19">
        <f>SUM('MTRT 2003'!B21:M21)</f>
        <v>465.04999999999995</v>
      </c>
      <c r="P24" s="22" t="s">
        <v>46</v>
      </c>
    </row>
    <row r="25" spans="1:16">
      <c r="A25" s="267" t="s">
        <v>233</v>
      </c>
      <c r="B25" s="19">
        <v>977</v>
      </c>
      <c r="C25" s="19">
        <v>1103</v>
      </c>
      <c r="D25" s="19">
        <v>1661</v>
      </c>
      <c r="E25" s="19">
        <v>2613</v>
      </c>
      <c r="F25" s="19">
        <v>2557</v>
      </c>
      <c r="G25" s="19">
        <v>1682</v>
      </c>
      <c r="H25" s="19">
        <v>1154</v>
      </c>
      <c r="I25" s="19">
        <v>1634</v>
      </c>
      <c r="J25" s="19">
        <v>1929</v>
      </c>
      <c r="K25" s="19">
        <v>2298</v>
      </c>
      <c r="L25" s="19">
        <v>1582</v>
      </c>
      <c r="M25" s="51">
        <v>809</v>
      </c>
      <c r="N25" s="313">
        <f>SUM(B25:M25)</f>
        <v>19999</v>
      </c>
      <c r="O25" s="19"/>
      <c r="P25" s="22"/>
    </row>
    <row r="26" spans="1:16">
      <c r="A26" s="267" t="s">
        <v>238</v>
      </c>
      <c r="B26" s="19">
        <v>3167.62</v>
      </c>
      <c r="C26" s="19">
        <v>9612.14</v>
      </c>
      <c r="D26" s="19">
        <v>807.47</v>
      </c>
      <c r="E26" s="19">
        <v>3478.61</v>
      </c>
      <c r="F26" s="19">
        <v>7047.46</v>
      </c>
      <c r="G26" s="19">
        <v>5182.1000000000004</v>
      </c>
      <c r="H26" s="19">
        <v>6808.32</v>
      </c>
      <c r="I26" s="19">
        <v>27551.37</v>
      </c>
      <c r="J26" s="19">
        <v>10813.53</v>
      </c>
      <c r="K26" s="19">
        <v>12040.34</v>
      </c>
      <c r="L26" s="19">
        <v>18358.66</v>
      </c>
      <c r="M26" s="51">
        <v>11377.65</v>
      </c>
      <c r="N26" s="313">
        <f t="shared" si="0"/>
        <v>116245.26999999999</v>
      </c>
      <c r="O26" s="19">
        <f>SUM('MTRT 2003'!B22:M22)</f>
        <v>94217.719999999987</v>
      </c>
      <c r="P26" s="22">
        <f t="shared" si="1"/>
        <v>0.23379413129504734</v>
      </c>
    </row>
    <row r="27" spans="1:16">
      <c r="A27" s="267" t="s">
        <v>244</v>
      </c>
      <c r="B27" s="19">
        <v>1080.68</v>
      </c>
      <c r="C27" s="19">
        <v>1713.81</v>
      </c>
      <c r="D27" s="19">
        <v>802.85</v>
      </c>
      <c r="E27" s="19">
        <v>746.05</v>
      </c>
      <c r="F27" s="19">
        <v>1505.64</v>
      </c>
      <c r="G27" s="19">
        <v>1027.42</v>
      </c>
      <c r="H27" s="19">
        <v>1757.94</v>
      </c>
      <c r="I27" s="19">
        <v>1966.57</v>
      </c>
      <c r="J27" s="19">
        <v>1559.95</v>
      </c>
      <c r="K27" s="19">
        <v>1610.49</v>
      </c>
      <c r="L27" s="19"/>
      <c r="M27" s="51">
        <v>1142.21</v>
      </c>
      <c r="N27" s="313">
        <f t="shared" si="0"/>
        <v>14913.61</v>
      </c>
      <c r="O27" s="19">
        <f>SUM('MTRT 2003'!B23:M23)</f>
        <v>17123.059999999998</v>
      </c>
      <c r="P27" s="22" t="s">
        <v>46</v>
      </c>
    </row>
    <row r="28" spans="1:16">
      <c r="A28" s="267" t="s">
        <v>206</v>
      </c>
      <c r="B28" s="19">
        <v>8367</v>
      </c>
      <c r="C28" s="19">
        <v>8367</v>
      </c>
      <c r="D28" s="19">
        <v>8367</v>
      </c>
      <c r="E28" s="19">
        <v>9474</v>
      </c>
      <c r="F28" s="19">
        <v>9474</v>
      </c>
      <c r="G28" s="19">
        <v>9474</v>
      </c>
      <c r="H28" s="19">
        <v>8338</v>
      </c>
      <c r="I28" s="19">
        <v>8338</v>
      </c>
      <c r="J28" s="19">
        <v>8337</v>
      </c>
      <c r="K28" s="19">
        <v>9483</v>
      </c>
      <c r="L28" s="19">
        <v>9483</v>
      </c>
      <c r="M28" s="51">
        <v>9483</v>
      </c>
      <c r="N28" s="313">
        <f t="shared" si="0"/>
        <v>106985</v>
      </c>
      <c r="O28" s="19"/>
      <c r="P28" s="22"/>
    </row>
    <row r="29" spans="1:16">
      <c r="A29" s="301"/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15"/>
      <c r="N29" s="316"/>
      <c r="O29" s="302"/>
      <c r="P29" s="305"/>
    </row>
    <row r="30" spans="1:16" ht="13" thickBot="1">
      <c r="A30" s="275" t="s">
        <v>54</v>
      </c>
      <c r="B30" s="306">
        <f t="shared" ref="B30:M30" si="2">SUM(B4:B28)</f>
        <v>43059.76</v>
      </c>
      <c r="C30" s="306">
        <f t="shared" si="2"/>
        <v>64866.38</v>
      </c>
      <c r="D30" s="306">
        <f t="shared" si="2"/>
        <v>35913.770000000004</v>
      </c>
      <c r="E30" s="306">
        <f t="shared" si="2"/>
        <v>72063.459999999992</v>
      </c>
      <c r="F30" s="306">
        <f t="shared" si="2"/>
        <v>85988.46</v>
      </c>
      <c r="G30" s="306">
        <f t="shared" si="2"/>
        <v>87960.5</v>
      </c>
      <c r="H30" s="306">
        <f t="shared" si="2"/>
        <v>94651.479999999981</v>
      </c>
      <c r="I30" s="306">
        <f t="shared" si="2"/>
        <v>163009.20000000001</v>
      </c>
      <c r="J30" s="306">
        <f t="shared" si="2"/>
        <v>87230.049999999988</v>
      </c>
      <c r="K30" s="306">
        <f t="shared" si="2"/>
        <v>101567.61000000002</v>
      </c>
      <c r="L30" s="306">
        <f t="shared" si="2"/>
        <v>137125.06</v>
      </c>
      <c r="M30" s="319">
        <f t="shared" si="2"/>
        <v>100905.25</v>
      </c>
      <c r="N30" s="317">
        <f>SUM(N4:N28)</f>
        <v>1074340.98</v>
      </c>
      <c r="O30" s="96">
        <f>SUM('MTRT 2003'!B25:M25)</f>
        <v>677449.16</v>
      </c>
      <c r="P30" s="309">
        <f t="shared" si="1"/>
        <v>0.58586214794332303</v>
      </c>
    </row>
    <row r="31" spans="1:16">
      <c r="A31" s="276" t="s">
        <v>265</v>
      </c>
      <c r="B31" s="320">
        <f>B30/'MTRT 2003'!B25-1</f>
        <v>0.46653166053791972</v>
      </c>
      <c r="C31" s="320">
        <f>C30/'MTRT 2003'!C25-1</f>
        <v>0.70678362659268368</v>
      </c>
      <c r="D31" s="320">
        <f>D30/'MTRT 2003'!D25-1</f>
        <v>0.28071448592431802</v>
      </c>
      <c r="E31" s="320">
        <f>E30/'MTRT 2003'!E22-1</f>
        <v>53.525373586047735</v>
      </c>
      <c r="F31" s="320">
        <f>F30/'MTRT 2003'!F22-1</f>
        <v>11.085942584068309</v>
      </c>
      <c r="G31" s="320">
        <f>G30/'MTRT 2003'!G22-1</f>
        <v>17.043734679015763</v>
      </c>
      <c r="H31" s="320">
        <f>H30/'MTRT 2003'!H22-1</f>
        <v>10.550977271839729</v>
      </c>
      <c r="I31" s="320">
        <f>I30/'MTRT 2003'!I22-1</f>
        <v>8.3553226485891479</v>
      </c>
      <c r="J31" s="320">
        <f>J30/'MTRT 2003'!J22-1</f>
        <v>8.9820168171082262</v>
      </c>
      <c r="K31" s="320">
        <f>K30/'MTRT 2003'!K22-1</f>
        <v>27.072860696517417</v>
      </c>
      <c r="L31" s="320">
        <f>L30/'MTRT 2003'!L22-1</f>
        <v>4.7388909349627522</v>
      </c>
      <c r="M31" s="320">
        <f>M30/'MTRT 2003'!M22-1</f>
        <v>17.521385672645575</v>
      </c>
      <c r="N31" s="320">
        <f>N30/'MTRT 2003'!N22-1</f>
        <v>10.402748654923936</v>
      </c>
      <c r="O31" s="1"/>
      <c r="P31" s="1"/>
    </row>
  </sheetData>
  <mergeCells count="1">
    <mergeCell ref="A1:P1"/>
  </mergeCells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 enableFormatConditionsCalculation="0">
    <tabColor rgb="FF00B050"/>
    <pageSetUpPr fitToPage="1"/>
  </sheetPr>
  <dimension ref="A1:P26"/>
  <sheetViews>
    <sheetView topLeftCell="A3" workbookViewId="0">
      <selection activeCell="J52" sqref="J52"/>
    </sheetView>
  </sheetViews>
  <sheetFormatPr baseColWidth="10" defaultColWidth="9.1640625" defaultRowHeight="10" x14ac:dyDescent="0"/>
  <cols>
    <col min="1" max="1" width="12.6640625" style="1" bestFit="1" customWidth="1"/>
    <col min="2" max="5" width="7.6640625" style="1" customWidth="1"/>
    <col min="6" max="6" width="8.6640625" style="1" bestFit="1" customWidth="1"/>
    <col min="7" max="13" width="7.6640625" style="1" customWidth="1"/>
    <col min="14" max="14" width="8.6640625" style="1" customWidth="1"/>
    <col min="15" max="16384" width="9.1640625" style="1"/>
  </cols>
  <sheetData>
    <row r="1" spans="1:16" ht="23">
      <c r="A1" s="711" t="s">
        <v>278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</row>
    <row r="2" spans="1:16" ht="11" thickBot="1"/>
    <row r="3" spans="1:16" s="47" customFormat="1" ht="11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310" t="s">
        <v>13</v>
      </c>
      <c r="N3" s="311" t="s">
        <v>47</v>
      </c>
      <c r="O3" s="251" t="s">
        <v>14</v>
      </c>
      <c r="P3" s="253" t="s">
        <v>16</v>
      </c>
    </row>
    <row r="4" spans="1:16">
      <c r="A4" s="267" t="s">
        <v>156</v>
      </c>
      <c r="B4" s="19">
        <v>674.78</v>
      </c>
      <c r="C4" s="19">
        <v>1913.8</v>
      </c>
      <c r="D4" s="19">
        <v>323.02999999999997</v>
      </c>
      <c r="E4" s="19">
        <v>793.02</v>
      </c>
      <c r="F4" s="19">
        <v>874.42</v>
      </c>
      <c r="G4" s="19">
        <v>1020.54</v>
      </c>
      <c r="H4" s="19">
        <v>1169.6099999999999</v>
      </c>
      <c r="I4" s="19">
        <v>2162.1999999999998</v>
      </c>
      <c r="J4" s="19">
        <v>1630.16</v>
      </c>
      <c r="K4" s="19">
        <v>1496</v>
      </c>
      <c r="L4" s="19">
        <v>975</v>
      </c>
      <c r="M4" s="51">
        <v>1720.33</v>
      </c>
      <c r="N4" s="313">
        <f t="shared" ref="N4:N23" si="0">SUM(B4:M4)</f>
        <v>14752.889999999998</v>
      </c>
      <c r="O4" s="19">
        <f>SUM('MTRT 2002'!B4:M4)</f>
        <v>13302.79</v>
      </c>
      <c r="P4" s="22">
        <f>N4/O4-1</f>
        <v>0.10900720826232657</v>
      </c>
    </row>
    <row r="5" spans="1:16">
      <c r="A5" s="267" t="s">
        <v>163</v>
      </c>
      <c r="B5" s="19">
        <v>2837.63</v>
      </c>
      <c r="C5" s="19">
        <v>4260.5600000000004</v>
      </c>
      <c r="D5" s="19">
        <v>1806.6</v>
      </c>
      <c r="E5" s="19">
        <v>1663.69</v>
      </c>
      <c r="F5" s="19">
        <v>2932.22</v>
      </c>
      <c r="G5" s="19">
        <v>2500.29</v>
      </c>
      <c r="H5" s="19">
        <v>3363.18</v>
      </c>
      <c r="I5" s="19">
        <v>4581.8</v>
      </c>
      <c r="J5" s="19">
        <v>3262.52</v>
      </c>
      <c r="K5" s="19">
        <v>4316</v>
      </c>
      <c r="L5" s="19">
        <v>4943</v>
      </c>
      <c r="M5" s="51">
        <v>2699.86</v>
      </c>
      <c r="N5" s="313">
        <f t="shared" si="0"/>
        <v>39167.350000000006</v>
      </c>
      <c r="O5" s="19">
        <f>SUM('MTRT 2002'!B5:M5)</f>
        <v>48744.689999999995</v>
      </c>
      <c r="P5" s="22">
        <f t="shared" ref="P5:P25" si="1">N5/O5-1</f>
        <v>-0.19647965757911257</v>
      </c>
    </row>
    <row r="6" spans="1:16">
      <c r="A6" s="267" t="s">
        <v>174</v>
      </c>
      <c r="B6" s="19">
        <v>573.54</v>
      </c>
      <c r="C6" s="19">
        <v>453.07</v>
      </c>
      <c r="D6" s="19">
        <v>271.7</v>
      </c>
      <c r="E6" s="19">
        <v>225.5</v>
      </c>
      <c r="F6" s="19">
        <v>443.94</v>
      </c>
      <c r="G6" s="19">
        <v>275.43</v>
      </c>
      <c r="H6" s="19">
        <v>501.15</v>
      </c>
      <c r="I6" s="19">
        <v>723.49</v>
      </c>
      <c r="J6" s="19">
        <v>623.71</v>
      </c>
      <c r="K6" s="19">
        <v>620</v>
      </c>
      <c r="L6" s="19">
        <v>731</v>
      </c>
      <c r="M6" s="51">
        <v>394.47</v>
      </c>
      <c r="N6" s="313">
        <f t="shared" si="0"/>
        <v>5837</v>
      </c>
      <c r="O6" s="19">
        <f>SUM('MTRT 2002'!B6:M6)</f>
        <v>6108.0599999999995</v>
      </c>
      <c r="P6" s="22">
        <f t="shared" si="1"/>
        <v>-4.4377429167362425E-2</v>
      </c>
    </row>
    <row r="7" spans="1:16">
      <c r="A7" s="267" t="s">
        <v>176</v>
      </c>
      <c r="B7" s="19">
        <v>0</v>
      </c>
      <c r="C7" s="19">
        <v>134.34</v>
      </c>
      <c r="D7" s="19">
        <v>50.67</v>
      </c>
      <c r="E7" s="19">
        <v>1.37</v>
      </c>
      <c r="F7" s="19">
        <v>371.06</v>
      </c>
      <c r="G7" s="19">
        <v>3148.19</v>
      </c>
      <c r="H7" s="19">
        <v>4579.29</v>
      </c>
      <c r="I7" s="19">
        <v>1931.99</v>
      </c>
      <c r="J7" s="19">
        <v>5198.51</v>
      </c>
      <c r="K7" s="19">
        <v>10578</v>
      </c>
      <c r="L7" s="19">
        <v>7464</v>
      </c>
      <c r="M7" s="51">
        <v>3222.02</v>
      </c>
      <c r="N7" s="313">
        <f t="shared" si="0"/>
        <v>36679.439999999995</v>
      </c>
      <c r="O7" s="19">
        <f>SUM('MTRT 2002'!B7:M7)</f>
        <v>4828</v>
      </c>
      <c r="P7" s="22">
        <f t="shared" si="1"/>
        <v>6.5972328086164032</v>
      </c>
    </row>
    <row r="8" spans="1:16">
      <c r="A8" s="267" t="s">
        <v>180</v>
      </c>
      <c r="B8" s="19">
        <v>10358.86</v>
      </c>
      <c r="C8" s="19">
        <v>12005.22</v>
      </c>
      <c r="D8" s="19">
        <v>8187.61</v>
      </c>
      <c r="E8" s="19">
        <v>6652.39</v>
      </c>
      <c r="F8" s="19">
        <v>24559.9</v>
      </c>
      <c r="G8" s="19">
        <v>24307.23</v>
      </c>
      <c r="H8" s="19">
        <v>30020.14</v>
      </c>
      <c r="I8" s="19">
        <v>50764.5</v>
      </c>
      <c r="J8" s="19">
        <v>22595.279999999999</v>
      </c>
      <c r="K8" s="19">
        <v>25067</v>
      </c>
      <c r="L8" s="19">
        <v>46190</v>
      </c>
      <c r="M8" s="51">
        <v>31761.03</v>
      </c>
      <c r="N8" s="313">
        <f t="shared" si="0"/>
        <v>292469.16000000003</v>
      </c>
      <c r="O8" s="19">
        <f>SUM('MTRT 2002'!B8:M8)</f>
        <v>262988.68</v>
      </c>
      <c r="P8" s="22">
        <f t="shared" si="1"/>
        <v>0.11209790474631842</v>
      </c>
    </row>
    <row r="9" spans="1:16">
      <c r="A9" s="267" t="s">
        <v>262</v>
      </c>
      <c r="B9" s="19">
        <v>1207.2</v>
      </c>
      <c r="C9" s="19">
        <v>1989.2</v>
      </c>
      <c r="D9" s="19">
        <v>899.82</v>
      </c>
      <c r="E9" s="19">
        <v>999.39</v>
      </c>
      <c r="F9" s="19">
        <v>2522.09</v>
      </c>
      <c r="G9" s="19">
        <v>42.94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51">
        <v>0</v>
      </c>
      <c r="N9" s="313">
        <f t="shared" si="0"/>
        <v>7660.64</v>
      </c>
      <c r="O9" s="19">
        <f>SUM('MTRT 2002'!B9:M9)</f>
        <v>44851.579999999994</v>
      </c>
      <c r="P9" s="22">
        <f t="shared" si="1"/>
        <v>-0.82920021992536275</v>
      </c>
    </row>
    <row r="10" spans="1:16">
      <c r="A10" s="267" t="s">
        <v>199</v>
      </c>
      <c r="B10" s="19">
        <v>0</v>
      </c>
      <c r="C10" s="19">
        <v>518.37</v>
      </c>
      <c r="D10" s="19">
        <v>4226.87</v>
      </c>
      <c r="E10" s="19">
        <v>3196.53</v>
      </c>
      <c r="F10" s="19">
        <v>3533.03</v>
      </c>
      <c r="G10" s="19">
        <v>1663.78</v>
      </c>
      <c r="H10" s="19">
        <v>1902.55</v>
      </c>
      <c r="I10" s="19">
        <v>1882.53</v>
      </c>
      <c r="J10" s="19">
        <v>2053.9499999999998</v>
      </c>
      <c r="K10" s="19">
        <v>2729</v>
      </c>
      <c r="L10" s="19">
        <v>1877</v>
      </c>
      <c r="M10" s="51">
        <v>1940.83</v>
      </c>
      <c r="N10" s="313">
        <f t="shared" si="0"/>
        <v>25524.440000000002</v>
      </c>
      <c r="O10" s="19">
        <f>SUM('MTRT 2002'!B10:M10)</f>
        <v>22599.909999999996</v>
      </c>
      <c r="P10" s="22">
        <f t="shared" si="1"/>
        <v>0.12940449762853068</v>
      </c>
    </row>
    <row r="11" spans="1:16">
      <c r="A11" s="267" t="s">
        <v>204</v>
      </c>
      <c r="B11" s="19">
        <v>1563.8</v>
      </c>
      <c r="C11" s="19">
        <v>1576.86</v>
      </c>
      <c r="D11" s="19">
        <v>986.04</v>
      </c>
      <c r="E11" s="19">
        <v>1580.12</v>
      </c>
      <c r="F11" s="19">
        <v>1948.32</v>
      </c>
      <c r="G11" s="19">
        <v>1822.79</v>
      </c>
      <c r="H11" s="19">
        <v>1996.43</v>
      </c>
      <c r="I11" s="19">
        <v>2192.8200000000002</v>
      </c>
      <c r="J11" s="19">
        <v>2006.33</v>
      </c>
      <c r="K11" s="19">
        <v>2463</v>
      </c>
      <c r="L11" s="19">
        <v>1986</v>
      </c>
      <c r="M11" s="51">
        <v>2197.16</v>
      </c>
      <c r="N11" s="313">
        <f t="shared" si="0"/>
        <v>22319.670000000002</v>
      </c>
      <c r="O11" s="19">
        <f>SUM('MTRT 2002'!B11:M11)</f>
        <v>28215.090000000004</v>
      </c>
      <c r="P11" s="22">
        <f t="shared" si="1"/>
        <v>-0.20894563866356619</v>
      </c>
    </row>
    <row r="12" spans="1:16">
      <c r="A12" s="267" t="s">
        <v>208</v>
      </c>
      <c r="B12" s="19">
        <v>0</v>
      </c>
      <c r="C12" s="19">
        <v>1246.24</v>
      </c>
      <c r="D12" s="19">
        <v>10.5</v>
      </c>
      <c r="E12" s="19">
        <v>704.06</v>
      </c>
      <c r="F12" s="19">
        <v>2751.44</v>
      </c>
      <c r="G12" s="19">
        <v>33.369999999999997</v>
      </c>
      <c r="H12" s="19">
        <v>136.63</v>
      </c>
      <c r="I12" s="19">
        <v>4657.9799999999996</v>
      </c>
      <c r="J12" s="19">
        <v>0</v>
      </c>
      <c r="K12" s="19">
        <v>0</v>
      </c>
      <c r="L12" s="19">
        <v>4875</v>
      </c>
      <c r="M12" s="51">
        <v>0</v>
      </c>
      <c r="N12" s="313">
        <f t="shared" si="0"/>
        <v>14415.22</v>
      </c>
      <c r="O12" s="19">
        <f>SUM('MTRT 2002'!B12:M12)</f>
        <v>15889.909999999998</v>
      </c>
      <c r="P12" s="22">
        <f t="shared" si="1"/>
        <v>-9.2806693052383538E-2</v>
      </c>
    </row>
    <row r="13" spans="1:16">
      <c r="A13" s="267" t="s">
        <v>209</v>
      </c>
      <c r="B13" s="19">
        <v>390.11</v>
      </c>
      <c r="C13" s="19">
        <v>1626.09</v>
      </c>
      <c r="D13" s="19">
        <v>22.97</v>
      </c>
      <c r="E13" s="19">
        <v>23.97</v>
      </c>
      <c r="F13" s="19">
        <v>1491.08</v>
      </c>
      <c r="G13" s="19">
        <v>63.96</v>
      </c>
      <c r="H13" s="19">
        <v>445.23</v>
      </c>
      <c r="I13" s="19">
        <v>2217.86</v>
      </c>
      <c r="J13" s="19">
        <v>0</v>
      </c>
      <c r="K13" s="19">
        <v>354</v>
      </c>
      <c r="L13" s="19">
        <v>3386</v>
      </c>
      <c r="M13" s="51">
        <v>106.43</v>
      </c>
      <c r="N13" s="313">
        <f t="shared" si="0"/>
        <v>10127.700000000001</v>
      </c>
      <c r="O13" s="19">
        <f>SUM('MTRT 2002'!B13:M13)</f>
        <v>10222.75</v>
      </c>
      <c r="P13" s="22">
        <f t="shared" si="1"/>
        <v>-9.2978895111393012E-3</v>
      </c>
    </row>
    <row r="14" spans="1:16">
      <c r="A14" s="267" t="s">
        <v>213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51">
        <v>0</v>
      </c>
      <c r="N14" s="313">
        <f t="shared" si="0"/>
        <v>0</v>
      </c>
      <c r="O14" s="19">
        <f>SUM('MTRT 2002'!B14:M14)</f>
        <v>192.78</v>
      </c>
      <c r="P14" s="22" t="s">
        <v>46</v>
      </c>
    </row>
    <row r="15" spans="1:16">
      <c r="A15" s="267" t="s">
        <v>212</v>
      </c>
      <c r="B15" s="19">
        <v>672.31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51">
        <v>0</v>
      </c>
      <c r="N15" s="313">
        <f>SUM(B15:M15)</f>
        <v>672.31</v>
      </c>
      <c r="O15" s="19">
        <f>SUM('MTRT 2002'!B15:M15)</f>
        <v>672.27</v>
      </c>
      <c r="P15" s="22">
        <f>N15/O15-1</f>
        <v>5.9499903312554281E-5</v>
      </c>
    </row>
    <row r="16" spans="1:16">
      <c r="A16" s="267" t="s">
        <v>223</v>
      </c>
      <c r="B16" s="19">
        <v>0</v>
      </c>
      <c r="C16" s="19">
        <v>116.23</v>
      </c>
      <c r="D16" s="19">
        <v>0</v>
      </c>
      <c r="E16" s="19">
        <v>0</v>
      </c>
      <c r="F16" s="19">
        <v>105.51</v>
      </c>
      <c r="G16" s="19">
        <v>0</v>
      </c>
      <c r="H16" s="19">
        <v>0</v>
      </c>
      <c r="I16" s="19">
        <v>89.67</v>
      </c>
      <c r="J16" s="19">
        <v>0</v>
      </c>
      <c r="K16" s="19">
        <v>0</v>
      </c>
      <c r="L16" s="19">
        <v>118</v>
      </c>
      <c r="M16" s="51">
        <v>4.67</v>
      </c>
      <c r="N16" s="313">
        <f t="shared" si="0"/>
        <v>434.08000000000004</v>
      </c>
      <c r="O16" s="19">
        <f>SUM('MTRT 2002'!B16:M16)</f>
        <v>52412.91</v>
      </c>
      <c r="P16" s="22">
        <f t="shared" si="1"/>
        <v>-0.99171807098670917</v>
      </c>
    </row>
    <row r="17" spans="1:16">
      <c r="A17" s="267" t="s">
        <v>216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400.66</v>
      </c>
      <c r="K17" s="19">
        <v>19</v>
      </c>
      <c r="L17" s="19">
        <v>196</v>
      </c>
      <c r="M17" s="51">
        <v>0</v>
      </c>
      <c r="N17" s="313">
        <f t="shared" si="0"/>
        <v>615.66000000000008</v>
      </c>
      <c r="O17" s="19">
        <f>SUM('MTRT 2002'!B17:M17)</f>
        <v>17823.939999999999</v>
      </c>
      <c r="P17" s="22">
        <f t="shared" si="1"/>
        <v>-0.96545881550319401</v>
      </c>
    </row>
    <row r="18" spans="1:16">
      <c r="A18" s="267" t="s">
        <v>224</v>
      </c>
      <c r="B18" s="19">
        <v>3374.99</v>
      </c>
      <c r="C18" s="19">
        <v>2872.6</v>
      </c>
      <c r="D18" s="19">
        <v>3111.02</v>
      </c>
      <c r="E18" s="19">
        <v>2691.67</v>
      </c>
      <c r="F18" s="19">
        <v>3183.25</v>
      </c>
      <c r="G18" s="19">
        <v>4254.76</v>
      </c>
      <c r="H18" s="19">
        <v>3988.62</v>
      </c>
      <c r="I18" s="19">
        <v>4069.62</v>
      </c>
      <c r="J18" s="19">
        <v>5061</v>
      </c>
      <c r="K18" s="19">
        <v>5103</v>
      </c>
      <c r="L18" s="19">
        <v>3323</v>
      </c>
      <c r="M18" s="51">
        <v>3627.64</v>
      </c>
      <c r="N18" s="313">
        <f t="shared" si="0"/>
        <v>44661.17</v>
      </c>
      <c r="O18" s="19">
        <f>SUM('MTRT 2002'!B18:M18)</f>
        <v>44437.11</v>
      </c>
      <c r="P18" s="22">
        <f t="shared" si="1"/>
        <v>5.0421820860986344E-3</v>
      </c>
    </row>
    <row r="19" spans="1:16">
      <c r="A19" s="267" t="s">
        <v>229</v>
      </c>
      <c r="B19" s="19">
        <v>488.49</v>
      </c>
      <c r="C19" s="19">
        <v>1349.83</v>
      </c>
      <c r="D19" s="19">
        <v>866.42</v>
      </c>
      <c r="E19" s="19">
        <v>841.48</v>
      </c>
      <c r="F19" s="19">
        <v>1535.96</v>
      </c>
      <c r="G19" s="19">
        <v>402.33</v>
      </c>
      <c r="H19" s="19">
        <v>736.68</v>
      </c>
      <c r="I19" s="19">
        <v>2993.49</v>
      </c>
      <c r="J19" s="19">
        <v>1906.22</v>
      </c>
      <c r="K19" s="19">
        <v>1913</v>
      </c>
      <c r="L19" s="19">
        <v>2000</v>
      </c>
      <c r="M19" s="51">
        <v>998.51</v>
      </c>
      <c r="N19" s="313">
        <f t="shared" si="0"/>
        <v>16032.41</v>
      </c>
      <c r="O19" s="19">
        <f>SUM('MTRT 2002'!B19:M19)</f>
        <v>83976.61</v>
      </c>
      <c r="P19" s="22">
        <f t="shared" si="1"/>
        <v>-0.80908481540276511</v>
      </c>
    </row>
    <row r="20" spans="1:16">
      <c r="A20" s="267" t="s">
        <v>230</v>
      </c>
      <c r="B20" s="19">
        <v>1306.1199999999999</v>
      </c>
      <c r="C20" s="19">
        <v>2593.75</v>
      </c>
      <c r="D20" s="19">
        <v>2002.8</v>
      </c>
      <c r="E20" s="19">
        <v>1825.8</v>
      </c>
      <c r="F20" s="19">
        <v>3043.82</v>
      </c>
      <c r="G20" s="19">
        <v>1216.1400000000001</v>
      </c>
      <c r="H20" s="19">
        <v>1859</v>
      </c>
      <c r="I20" s="19">
        <v>3790.97</v>
      </c>
      <c r="J20" s="19">
        <v>4255.3900000000003</v>
      </c>
      <c r="K20" s="19">
        <v>4029</v>
      </c>
      <c r="L20" s="19">
        <v>6685</v>
      </c>
      <c r="M20" s="51">
        <v>1666.4</v>
      </c>
      <c r="N20" s="313">
        <f t="shared" si="0"/>
        <v>34274.19</v>
      </c>
      <c r="O20" s="19">
        <f>SUM('MTRT 2002'!B20:M20)</f>
        <v>18063.320000000003</v>
      </c>
      <c r="P20" s="22">
        <f t="shared" si="1"/>
        <v>0.89744687023205016</v>
      </c>
    </row>
    <row r="21" spans="1:16">
      <c r="A21" s="267" t="s">
        <v>237</v>
      </c>
      <c r="B21" s="19">
        <v>0</v>
      </c>
      <c r="C21" s="19">
        <v>108.52</v>
      </c>
      <c r="D21" s="19">
        <v>0</v>
      </c>
      <c r="E21" s="19">
        <v>0</v>
      </c>
      <c r="F21" s="19">
        <v>128.87</v>
      </c>
      <c r="G21" s="19">
        <v>0</v>
      </c>
      <c r="H21" s="19">
        <v>158.66</v>
      </c>
      <c r="I21" s="19">
        <v>0</v>
      </c>
      <c r="J21" s="19">
        <v>0</v>
      </c>
      <c r="K21" s="19">
        <v>0</v>
      </c>
      <c r="L21" s="19">
        <v>69</v>
      </c>
      <c r="M21" s="51">
        <v>0</v>
      </c>
      <c r="N21" s="313">
        <f t="shared" si="0"/>
        <v>465.04999999999995</v>
      </c>
      <c r="O21" s="19">
        <f>SUM('MTRT 2002'!B21:M21)</f>
        <v>0</v>
      </c>
      <c r="P21" s="22" t="s">
        <v>46</v>
      </c>
    </row>
    <row r="22" spans="1:16">
      <c r="A22" s="267" t="s">
        <v>238</v>
      </c>
      <c r="B22" s="19">
        <v>4863.46</v>
      </c>
      <c r="C22" s="19">
        <v>4269.1499999999996</v>
      </c>
      <c r="D22" s="19">
        <v>4456.6400000000003</v>
      </c>
      <c r="E22" s="19">
        <v>1321.65</v>
      </c>
      <c r="F22" s="19">
        <v>7114.75</v>
      </c>
      <c r="G22" s="19">
        <v>4874.8500000000004</v>
      </c>
      <c r="H22" s="19">
        <v>8194.24</v>
      </c>
      <c r="I22" s="19">
        <v>17424.22</v>
      </c>
      <c r="J22" s="19">
        <v>8738.7199999999993</v>
      </c>
      <c r="K22" s="19">
        <v>3618</v>
      </c>
      <c r="L22" s="19">
        <v>23894</v>
      </c>
      <c r="M22" s="51">
        <v>5448.04</v>
      </c>
      <c r="N22" s="313">
        <f t="shared" si="0"/>
        <v>94217.719999999987</v>
      </c>
      <c r="O22" s="19">
        <f>SUM('MTRT 2002'!B22:M22)</f>
        <v>674743.25</v>
      </c>
      <c r="P22" s="22">
        <f t="shared" si="1"/>
        <v>-0.86036507960620578</v>
      </c>
    </row>
    <row r="23" spans="1:16">
      <c r="A23" s="267" t="s">
        <v>244</v>
      </c>
      <c r="B23" s="19">
        <v>1050.3399999999999</v>
      </c>
      <c r="C23" s="19">
        <v>971.21</v>
      </c>
      <c r="D23" s="19">
        <v>819.29</v>
      </c>
      <c r="E23" s="19">
        <v>1154.6099999999999</v>
      </c>
      <c r="F23" s="19">
        <v>1239.19</v>
      </c>
      <c r="G23" s="19">
        <v>1390.84</v>
      </c>
      <c r="H23" s="19">
        <v>1094.02</v>
      </c>
      <c r="I23" s="19">
        <v>2317.67</v>
      </c>
      <c r="J23" s="19">
        <v>1721.39</v>
      </c>
      <c r="K23" s="19">
        <v>1706</v>
      </c>
      <c r="L23" s="19">
        <v>1292</v>
      </c>
      <c r="M23" s="51">
        <v>2366.5</v>
      </c>
      <c r="N23" s="313">
        <f t="shared" si="0"/>
        <v>17123.059999999998</v>
      </c>
      <c r="O23" s="19">
        <f>SUM('MTRT 2002'!B23:M23)</f>
        <v>0</v>
      </c>
      <c r="P23" s="22" t="s">
        <v>46</v>
      </c>
    </row>
    <row r="24" spans="1:16" ht="4.5" customHeight="1">
      <c r="A24" s="301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15"/>
      <c r="N24" s="316"/>
      <c r="O24" s="302"/>
      <c r="P24" s="305"/>
    </row>
    <row r="25" spans="1:16" s="47" customFormat="1" ht="11" thickBot="1">
      <c r="A25" s="275" t="s">
        <v>54</v>
      </c>
      <c r="B25" s="306">
        <f t="shared" ref="B25:H25" si="2">SUM(B4:B23)</f>
        <v>29361.63</v>
      </c>
      <c r="C25" s="306">
        <f t="shared" si="2"/>
        <v>38005.039999999994</v>
      </c>
      <c r="D25" s="306">
        <f t="shared" si="2"/>
        <v>28041.98</v>
      </c>
      <c r="E25" s="306">
        <f t="shared" si="2"/>
        <v>23675.25</v>
      </c>
      <c r="F25" s="306">
        <f t="shared" si="2"/>
        <v>57778.850000000013</v>
      </c>
      <c r="G25" s="306">
        <f t="shared" si="2"/>
        <v>47017.440000000002</v>
      </c>
      <c r="H25" s="306">
        <f t="shared" si="2"/>
        <v>60145.43</v>
      </c>
      <c r="I25" s="306">
        <f t="shared" ref="I25:N25" si="3">SUM(I4:I23)</f>
        <v>101800.81</v>
      </c>
      <c r="J25" s="306">
        <f t="shared" si="3"/>
        <v>59453.840000000004</v>
      </c>
      <c r="K25" s="306">
        <f t="shared" si="3"/>
        <v>64011</v>
      </c>
      <c r="L25" s="306">
        <f t="shared" si="3"/>
        <v>110004</v>
      </c>
      <c r="M25" s="319">
        <f t="shared" si="3"/>
        <v>58153.89</v>
      </c>
      <c r="N25" s="317">
        <f t="shared" si="3"/>
        <v>677449.16000000015</v>
      </c>
      <c r="O25" s="306">
        <f>SUM('MTRT 2002'!B22:M22)</f>
        <v>674743.25</v>
      </c>
      <c r="P25" s="309">
        <f t="shared" si="1"/>
        <v>4.0102809476050272E-3</v>
      </c>
    </row>
    <row r="26" spans="1:16">
      <c r="A26" s="276" t="s">
        <v>265</v>
      </c>
      <c r="B26" s="320">
        <f>B25/'MTRT 2002'!B22-1</f>
        <v>9.4128997205952247E-2</v>
      </c>
      <c r="C26" s="320">
        <f>C25/'MTRT 2002'!C22-1</f>
        <v>-1.6320189835379972E-2</v>
      </c>
      <c r="D26" s="320">
        <f>D25/'MTRT 2002'!D22-1</f>
        <v>0.20196518576209033</v>
      </c>
      <c r="E26" s="320">
        <f>E25/'MTRT 2002'!E22-1</f>
        <v>-0.55527886397537618</v>
      </c>
      <c r="F26" s="320">
        <f>F25/'MTRT 2002'!F22-1</f>
        <v>4.1058672157108456E-2</v>
      </c>
      <c r="G26" s="320">
        <f>G25/'MTRT 2002'!G22-1</f>
        <v>-4.3685335411766557E-2</v>
      </c>
      <c r="H26" s="320">
        <f>H25/'MTRT 2002'!H22-1</f>
        <v>9.8670480308008957E-2</v>
      </c>
      <c r="I26" s="320">
        <f>I25/'MTRT 2002'!I22-1</f>
        <v>-0.14375254275294513</v>
      </c>
      <c r="J26" s="320">
        <f>J25/'MTRT 2002'!J22-1</f>
        <v>0.24985473610743214</v>
      </c>
      <c r="K26" s="320">
        <f>K25/'MTRT 2002'!K22-1</f>
        <v>0.11873467684260652</v>
      </c>
      <c r="L26" s="320">
        <f>L25/'MTRT 2002'!L22-1</f>
        <v>9.6866326969546446E-2</v>
      </c>
      <c r="M26" s="320">
        <f>M25/'MTRT 2002'!M22-1</f>
        <v>0.17888571432046585</v>
      </c>
      <c r="N26" s="320">
        <f>N25/'MTRT 2002'!N22-1</f>
        <v>3.1373680201576271E-3</v>
      </c>
    </row>
  </sheetData>
  <mergeCells count="1">
    <mergeCell ref="A1:P1"/>
  </mergeCells>
  <pageMargins left="0.5" right="0.5" top="1" bottom="1" header="0.5" footer="0.5"/>
  <pageSetup scale="97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 enableFormatConditionsCalculation="0">
    <tabColor rgb="FF00B050"/>
    <pageSetUpPr fitToPage="1"/>
  </sheetPr>
  <dimension ref="A1:O22"/>
  <sheetViews>
    <sheetView topLeftCell="C1" workbookViewId="0">
      <selection activeCell="J52" sqref="J52"/>
    </sheetView>
  </sheetViews>
  <sheetFormatPr baseColWidth="10" defaultColWidth="9.1640625" defaultRowHeight="10" x14ac:dyDescent="0"/>
  <cols>
    <col min="1" max="1" width="12.6640625" style="1" bestFit="1" customWidth="1"/>
    <col min="2" max="5" width="7.6640625" style="1" customWidth="1"/>
    <col min="6" max="6" width="8.6640625" style="1" bestFit="1" customWidth="1"/>
    <col min="7" max="13" width="7.6640625" style="1" customWidth="1"/>
    <col min="14" max="14" width="8.6640625" style="1" customWidth="1"/>
    <col min="15" max="16384" width="9.1640625" style="1"/>
  </cols>
  <sheetData>
    <row r="1" spans="1:15" ht="23">
      <c r="A1" s="711" t="s">
        <v>279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</row>
    <row r="2" spans="1:15" ht="11" thickBot="1"/>
    <row r="3" spans="1:15" s="47" customFormat="1" ht="11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310" t="s">
        <v>13</v>
      </c>
      <c r="N3" s="321" t="s">
        <v>14</v>
      </c>
    </row>
    <row r="4" spans="1:15">
      <c r="A4" s="267" t="s">
        <v>156</v>
      </c>
      <c r="B4" s="19">
        <v>711.54</v>
      </c>
      <c r="C4" s="19">
        <v>824.85</v>
      </c>
      <c r="D4" s="19">
        <v>696.36</v>
      </c>
      <c r="E4" s="19">
        <v>1053.48</v>
      </c>
      <c r="F4" s="19">
        <v>1067.8499999999999</v>
      </c>
      <c r="G4" s="19">
        <v>961.13</v>
      </c>
      <c r="H4" s="19">
        <v>1088.1300000000001</v>
      </c>
      <c r="I4" s="19">
        <v>1636.32</v>
      </c>
      <c r="J4" s="19">
        <v>1413.37</v>
      </c>
      <c r="K4" s="19">
        <v>1451.13</v>
      </c>
      <c r="L4" s="19">
        <v>1479.43</v>
      </c>
      <c r="M4" s="51">
        <v>919.2</v>
      </c>
      <c r="N4" s="322">
        <f t="shared" ref="N4:N20" si="0">SUM(B4:M4)</f>
        <v>13302.79</v>
      </c>
      <c r="O4" s="323"/>
    </row>
    <row r="5" spans="1:15">
      <c r="A5" s="267" t="s">
        <v>163</v>
      </c>
      <c r="B5" s="19">
        <v>2403.63</v>
      </c>
      <c r="C5" s="19">
        <v>4212.62</v>
      </c>
      <c r="D5" s="19">
        <v>1971.35</v>
      </c>
      <c r="E5" s="19">
        <v>2317.54</v>
      </c>
      <c r="F5" s="19">
        <v>2578.88</v>
      </c>
      <c r="G5" s="19">
        <v>6243.33</v>
      </c>
      <c r="H5" s="19">
        <v>3862.92</v>
      </c>
      <c r="I5" s="19">
        <v>7008.87</v>
      </c>
      <c r="J5" s="19">
        <v>3504.92</v>
      </c>
      <c r="K5" s="19">
        <v>3644.52</v>
      </c>
      <c r="L5" s="19">
        <v>6898.35</v>
      </c>
      <c r="M5" s="51">
        <v>4097.76</v>
      </c>
      <c r="N5" s="322">
        <f t="shared" si="0"/>
        <v>48744.689999999995</v>
      </c>
      <c r="O5" s="323"/>
    </row>
    <row r="6" spans="1:15">
      <c r="A6" s="267" t="s">
        <v>174</v>
      </c>
      <c r="B6" s="19">
        <v>584.82000000000005</v>
      </c>
      <c r="C6" s="19">
        <v>560.53</v>
      </c>
      <c r="D6" s="19">
        <v>333.43</v>
      </c>
      <c r="E6" s="19">
        <v>306.31</v>
      </c>
      <c r="F6" s="19">
        <v>576.87</v>
      </c>
      <c r="G6" s="19">
        <v>362.54</v>
      </c>
      <c r="H6" s="19">
        <v>437.8</v>
      </c>
      <c r="I6" s="19">
        <v>681.87</v>
      </c>
      <c r="J6" s="19">
        <v>1182.78</v>
      </c>
      <c r="K6" s="19">
        <v>0</v>
      </c>
      <c r="L6" s="19">
        <v>618.66999999999996</v>
      </c>
      <c r="M6" s="51">
        <v>462.44</v>
      </c>
      <c r="N6" s="322">
        <f t="shared" si="0"/>
        <v>6108.0599999999995</v>
      </c>
      <c r="O6" s="323"/>
    </row>
    <row r="7" spans="1:15">
      <c r="A7" s="267" t="s">
        <v>176</v>
      </c>
      <c r="B7" s="19">
        <v>104.21</v>
      </c>
      <c r="C7" s="19">
        <v>257.23</v>
      </c>
      <c r="D7" s="19">
        <v>31.08</v>
      </c>
      <c r="E7" s="19">
        <v>54.1</v>
      </c>
      <c r="F7" s="19">
        <v>606.64</v>
      </c>
      <c r="G7" s="19">
        <v>197.95</v>
      </c>
      <c r="H7" s="19">
        <v>373.63</v>
      </c>
      <c r="I7" s="19">
        <v>1114.99</v>
      </c>
      <c r="J7" s="19">
        <v>110.21</v>
      </c>
      <c r="K7" s="19">
        <v>175.68</v>
      </c>
      <c r="L7" s="19">
        <v>1802.28</v>
      </c>
      <c r="M7" s="51">
        <v>0</v>
      </c>
      <c r="N7" s="322">
        <f t="shared" si="0"/>
        <v>4828</v>
      </c>
      <c r="O7" s="323"/>
    </row>
    <row r="8" spans="1:15">
      <c r="A8" s="267" t="s">
        <v>180</v>
      </c>
      <c r="B8" s="19">
        <v>7262.98</v>
      </c>
      <c r="C8" s="19">
        <v>13898.09</v>
      </c>
      <c r="D8" s="19">
        <v>3321.01</v>
      </c>
      <c r="E8" s="19">
        <v>5230.2299999999996</v>
      </c>
      <c r="F8" s="19">
        <v>27158.76</v>
      </c>
      <c r="G8" s="19">
        <v>21492.02</v>
      </c>
      <c r="H8" s="19">
        <v>25849.599999999999</v>
      </c>
      <c r="I8" s="19">
        <v>51954.43</v>
      </c>
      <c r="J8" s="19">
        <v>19456.580000000002</v>
      </c>
      <c r="K8" s="19">
        <v>19270.560000000001</v>
      </c>
      <c r="L8" s="19">
        <v>48438.98</v>
      </c>
      <c r="M8" s="51">
        <v>19655.439999999999</v>
      </c>
      <c r="N8" s="322">
        <f t="shared" si="0"/>
        <v>262988.68</v>
      </c>
      <c r="O8" s="323"/>
    </row>
    <row r="9" spans="1:15">
      <c r="A9" s="267" t="s">
        <v>262</v>
      </c>
      <c r="B9" s="19">
        <v>1514.04</v>
      </c>
      <c r="C9" s="19">
        <v>1841.43</v>
      </c>
      <c r="D9" s="19">
        <v>1054.6099999999999</v>
      </c>
      <c r="E9" s="19">
        <v>1238.3900000000001</v>
      </c>
      <c r="F9" s="19">
        <v>2256.4899999999998</v>
      </c>
      <c r="G9" s="19">
        <v>4060.23</v>
      </c>
      <c r="H9" s="19">
        <v>5460.59</v>
      </c>
      <c r="I9" s="19">
        <v>7165.5</v>
      </c>
      <c r="J9" s="19">
        <v>4439.03</v>
      </c>
      <c r="K9" s="19">
        <v>3998.32</v>
      </c>
      <c r="L9" s="19">
        <v>5109.3100000000004</v>
      </c>
      <c r="M9" s="51">
        <v>6713.64</v>
      </c>
      <c r="N9" s="322">
        <f t="shared" si="0"/>
        <v>44851.579999999994</v>
      </c>
      <c r="O9" s="323"/>
    </row>
    <row r="10" spans="1:15">
      <c r="A10" s="267" t="s">
        <v>199</v>
      </c>
      <c r="B10" s="19">
        <v>1645.77</v>
      </c>
      <c r="C10" s="19">
        <v>169.75</v>
      </c>
      <c r="D10" s="19">
        <v>3279.85</v>
      </c>
      <c r="E10" s="19">
        <v>3421.01</v>
      </c>
      <c r="F10" s="19">
        <v>0</v>
      </c>
      <c r="G10" s="19">
        <v>0</v>
      </c>
      <c r="H10" s="19">
        <v>1878.91</v>
      </c>
      <c r="I10" s="19">
        <v>5495.21</v>
      </c>
      <c r="J10" s="19">
        <v>2630.17</v>
      </c>
      <c r="K10" s="19">
        <v>2232.0500000000002</v>
      </c>
      <c r="L10" s="19">
        <v>0</v>
      </c>
      <c r="M10" s="51">
        <v>1847.19</v>
      </c>
      <c r="N10" s="322">
        <f t="shared" si="0"/>
        <v>22599.909999999996</v>
      </c>
      <c r="O10" s="323"/>
    </row>
    <row r="11" spans="1:15">
      <c r="A11" s="267" t="s">
        <v>204</v>
      </c>
      <c r="B11" s="19">
        <v>2460.08</v>
      </c>
      <c r="C11" s="19">
        <v>1136.0999999999999</v>
      </c>
      <c r="D11" s="19">
        <v>1176.23</v>
      </c>
      <c r="E11" s="19">
        <v>12536.17</v>
      </c>
      <c r="F11" s="19">
        <v>1178.6600000000001</v>
      </c>
      <c r="G11" s="19">
        <v>1196.22</v>
      </c>
      <c r="H11" s="19">
        <v>1171.69</v>
      </c>
      <c r="I11" s="19">
        <v>501.48</v>
      </c>
      <c r="J11" s="19">
        <v>904.57</v>
      </c>
      <c r="K11" s="19">
        <v>1890.32</v>
      </c>
      <c r="L11" s="19">
        <v>2374.67</v>
      </c>
      <c r="M11" s="51">
        <v>1688.9</v>
      </c>
      <c r="N11" s="322">
        <f t="shared" si="0"/>
        <v>28215.090000000004</v>
      </c>
      <c r="O11" s="323"/>
    </row>
    <row r="12" spans="1:15">
      <c r="A12" s="267" t="s">
        <v>208</v>
      </c>
      <c r="B12" s="19">
        <v>146.24</v>
      </c>
      <c r="C12" s="19">
        <v>2480.71</v>
      </c>
      <c r="D12" s="19">
        <v>74.77</v>
      </c>
      <c r="E12" s="19">
        <v>6.18</v>
      </c>
      <c r="F12" s="19">
        <v>1801.73</v>
      </c>
      <c r="G12" s="19">
        <v>581.29999999999995</v>
      </c>
      <c r="H12" s="19">
        <v>0</v>
      </c>
      <c r="I12" s="19">
        <v>5153.1899999999996</v>
      </c>
      <c r="J12" s="19">
        <v>0</v>
      </c>
      <c r="K12" s="19">
        <v>73.069999999999993</v>
      </c>
      <c r="L12" s="19">
        <v>5434.12</v>
      </c>
      <c r="M12" s="51">
        <v>138.6</v>
      </c>
      <c r="N12" s="322">
        <f t="shared" si="0"/>
        <v>15889.909999999998</v>
      </c>
      <c r="O12" s="323"/>
    </row>
    <row r="13" spans="1:15">
      <c r="A13" s="267" t="s">
        <v>209</v>
      </c>
      <c r="B13" s="19">
        <v>117.87</v>
      </c>
      <c r="C13" s="19">
        <v>1846.78</v>
      </c>
      <c r="D13" s="19">
        <v>0</v>
      </c>
      <c r="E13" s="19">
        <v>0</v>
      </c>
      <c r="F13" s="19">
        <v>1319.2</v>
      </c>
      <c r="G13" s="19">
        <v>0</v>
      </c>
      <c r="H13" s="19">
        <v>0</v>
      </c>
      <c r="I13" s="19">
        <v>3379.62</v>
      </c>
      <c r="J13" s="19">
        <v>0</v>
      </c>
      <c r="K13" s="19">
        <v>69.3</v>
      </c>
      <c r="L13" s="19">
        <v>3489.98</v>
      </c>
      <c r="M13" s="51">
        <v>0</v>
      </c>
      <c r="N13" s="322">
        <f t="shared" si="0"/>
        <v>10222.75</v>
      </c>
      <c r="O13" s="323"/>
    </row>
    <row r="14" spans="1:15">
      <c r="A14" s="267" t="s">
        <v>213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192.78</v>
      </c>
      <c r="L14" s="19">
        <v>0</v>
      </c>
      <c r="M14" s="51">
        <v>0</v>
      </c>
      <c r="N14" s="322">
        <f t="shared" si="0"/>
        <v>192.78</v>
      </c>
      <c r="O14" s="323"/>
    </row>
    <row r="15" spans="1:15">
      <c r="A15" s="267" t="s">
        <v>223</v>
      </c>
      <c r="B15" s="19">
        <v>0</v>
      </c>
      <c r="C15" s="19">
        <v>177.13</v>
      </c>
      <c r="D15" s="19">
        <v>0</v>
      </c>
      <c r="E15" s="19">
        <v>138.03</v>
      </c>
      <c r="F15" s="19">
        <v>73.319999999999993</v>
      </c>
      <c r="G15" s="19">
        <v>0</v>
      </c>
      <c r="H15" s="19">
        <v>0</v>
      </c>
      <c r="I15" s="19">
        <v>136.66</v>
      </c>
      <c r="J15" s="19">
        <v>0</v>
      </c>
      <c r="K15" s="19">
        <v>0</v>
      </c>
      <c r="L15" s="19">
        <v>0</v>
      </c>
      <c r="M15" s="51">
        <v>147.13</v>
      </c>
      <c r="N15" s="322">
        <f t="shared" si="0"/>
        <v>672.27</v>
      </c>
      <c r="O15" s="323"/>
    </row>
    <row r="16" spans="1:15">
      <c r="A16" s="267" t="s">
        <v>224</v>
      </c>
      <c r="B16" s="19">
        <v>4515.2</v>
      </c>
      <c r="C16" s="19">
        <v>2592.5300000000002</v>
      </c>
      <c r="D16" s="19">
        <v>3212.55</v>
      </c>
      <c r="E16" s="19">
        <v>8704.26</v>
      </c>
      <c r="F16" s="19">
        <v>3322.79</v>
      </c>
      <c r="G16" s="19">
        <v>4546.38</v>
      </c>
      <c r="H16" s="19">
        <v>3375.12</v>
      </c>
      <c r="I16" s="19">
        <v>5327.94</v>
      </c>
      <c r="J16" s="19">
        <v>3726.44</v>
      </c>
      <c r="K16" s="19">
        <v>6739.31</v>
      </c>
      <c r="L16" s="19">
        <v>3112.45</v>
      </c>
      <c r="M16" s="51">
        <v>3237.94</v>
      </c>
      <c r="N16" s="322">
        <f t="shared" si="0"/>
        <v>52412.91</v>
      </c>
      <c r="O16" s="323"/>
    </row>
    <row r="17" spans="1:15">
      <c r="A17" s="267" t="s">
        <v>229</v>
      </c>
      <c r="B17" s="19">
        <v>547.32000000000005</v>
      </c>
      <c r="C17" s="19">
        <v>1558.1</v>
      </c>
      <c r="D17" s="19">
        <v>1364.63</v>
      </c>
      <c r="E17" s="19">
        <v>3715.36</v>
      </c>
      <c r="F17" s="19">
        <v>1698.51</v>
      </c>
      <c r="G17" s="19">
        <v>522.98</v>
      </c>
      <c r="H17" s="19">
        <v>1000.07</v>
      </c>
      <c r="I17" s="19">
        <v>2145.96</v>
      </c>
      <c r="J17" s="19">
        <v>1057.23</v>
      </c>
      <c r="K17" s="19">
        <v>1572.89</v>
      </c>
      <c r="L17" s="19">
        <v>1889.16</v>
      </c>
      <c r="M17" s="51">
        <v>751.73</v>
      </c>
      <c r="N17" s="322">
        <f t="shared" si="0"/>
        <v>17823.939999999999</v>
      </c>
      <c r="O17" s="323"/>
    </row>
    <row r="18" spans="1:15">
      <c r="A18" s="267" t="s">
        <v>230</v>
      </c>
      <c r="B18" s="19">
        <v>1154.92</v>
      </c>
      <c r="C18" s="19">
        <v>2744.35</v>
      </c>
      <c r="D18" s="19">
        <v>1865.36</v>
      </c>
      <c r="E18" s="19">
        <v>10356.870000000001</v>
      </c>
      <c r="F18" s="19">
        <v>4715.46</v>
      </c>
      <c r="G18" s="19">
        <v>1274.95</v>
      </c>
      <c r="H18" s="19">
        <v>1877.22</v>
      </c>
      <c r="I18" s="19">
        <v>5577.58</v>
      </c>
      <c r="J18" s="19">
        <v>3679.43</v>
      </c>
      <c r="K18" s="19">
        <v>4552.13</v>
      </c>
      <c r="L18" s="19">
        <v>3879.79</v>
      </c>
      <c r="M18" s="51">
        <v>2759.05</v>
      </c>
      <c r="N18" s="322">
        <f t="shared" si="0"/>
        <v>44437.11</v>
      </c>
      <c r="O18" s="323"/>
    </row>
    <row r="19" spans="1:15">
      <c r="A19" s="267" t="s">
        <v>238</v>
      </c>
      <c r="B19" s="19">
        <v>2488.37</v>
      </c>
      <c r="C19" s="19">
        <v>4264.87</v>
      </c>
      <c r="D19" s="19">
        <v>3624.73</v>
      </c>
      <c r="E19" s="19">
        <v>1621.94</v>
      </c>
      <c r="F19" s="19">
        <v>5561.04</v>
      </c>
      <c r="G19" s="19">
        <v>6198.5</v>
      </c>
      <c r="H19" s="19">
        <v>6588.22</v>
      </c>
      <c r="I19" s="19">
        <v>21612.19</v>
      </c>
      <c r="J19" s="19">
        <v>3326.12</v>
      </c>
      <c r="K19" s="19">
        <v>8901.92</v>
      </c>
      <c r="L19" s="19">
        <v>14133.16</v>
      </c>
      <c r="M19" s="51">
        <v>5655.55</v>
      </c>
      <c r="N19" s="322">
        <f t="shared" si="0"/>
        <v>83976.61</v>
      </c>
      <c r="O19" s="323"/>
    </row>
    <row r="20" spans="1:15">
      <c r="A20" s="267" t="s">
        <v>280</v>
      </c>
      <c r="B20" s="19">
        <v>1178.6300000000001</v>
      </c>
      <c r="C20" s="19">
        <v>70.510000000000005</v>
      </c>
      <c r="D20" s="19">
        <v>1324.15</v>
      </c>
      <c r="E20" s="19">
        <v>2536.3000000000002</v>
      </c>
      <c r="F20" s="19">
        <v>1583.89</v>
      </c>
      <c r="G20" s="19">
        <v>1527.71</v>
      </c>
      <c r="H20" s="19">
        <v>1779.93</v>
      </c>
      <c r="I20" s="19">
        <v>587.15</v>
      </c>
      <c r="J20" s="19">
        <v>2137.75</v>
      </c>
      <c r="K20" s="19">
        <v>2453.34</v>
      </c>
      <c r="L20" s="19">
        <v>1628.99</v>
      </c>
      <c r="M20" s="51">
        <v>1254.97</v>
      </c>
      <c r="N20" s="322">
        <f t="shared" si="0"/>
        <v>18063.320000000003</v>
      </c>
      <c r="O20" s="323"/>
    </row>
    <row r="21" spans="1:15" ht="4.5" customHeight="1">
      <c r="A21" s="301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15"/>
      <c r="N21" s="324"/>
      <c r="O21" s="146"/>
    </row>
    <row r="22" spans="1:15" s="47" customFormat="1" ht="11" thickBot="1">
      <c r="A22" s="275" t="s">
        <v>54</v>
      </c>
      <c r="B22" s="306">
        <f t="shared" ref="B22:H22" si="1">SUM(B4:B20)</f>
        <v>26835.620000000003</v>
      </c>
      <c r="C22" s="306">
        <f t="shared" si="1"/>
        <v>38635.58</v>
      </c>
      <c r="D22" s="306">
        <f t="shared" si="1"/>
        <v>23330.11</v>
      </c>
      <c r="E22" s="306">
        <f t="shared" si="1"/>
        <v>53236.170000000006</v>
      </c>
      <c r="F22" s="306">
        <f t="shared" si="1"/>
        <v>55500.090000000004</v>
      </c>
      <c r="G22" s="306">
        <f t="shared" si="1"/>
        <v>49165.240000000005</v>
      </c>
      <c r="H22" s="306">
        <f t="shared" si="1"/>
        <v>54743.830000000009</v>
      </c>
      <c r="I22" s="306">
        <f>SUM(I4:I19)</f>
        <v>118891.81000000003</v>
      </c>
      <c r="J22" s="306">
        <f>SUM(J4:J20)</f>
        <v>47568.600000000006</v>
      </c>
      <c r="K22" s="306">
        <f>SUM(K4:K20)</f>
        <v>57217.319999999992</v>
      </c>
      <c r="L22" s="306">
        <f>SUM(L4:L20)</f>
        <v>100289.34</v>
      </c>
      <c r="M22" s="319">
        <f>SUM(M4:M20)</f>
        <v>49329.540000000008</v>
      </c>
      <c r="N22" s="325">
        <f>SUM(N4:N20)</f>
        <v>675330.39999999991</v>
      </c>
      <c r="O22" s="326"/>
    </row>
  </sheetData>
  <mergeCells count="1">
    <mergeCell ref="A1:N1"/>
  </mergeCells>
  <pageMargins left="0.5" right="0.5" top="1" bottom="1" header="0.5" footer="0.5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 enableFormatConditionsCalculation="0">
    <tabColor rgb="FF0070C0"/>
    <pageSetUpPr fitToPage="1"/>
  </sheetPr>
  <dimension ref="A1:Q51"/>
  <sheetViews>
    <sheetView zoomScale="125" zoomScaleNormal="125" zoomScalePageLayoutView="125" workbookViewId="0">
      <pane xSplit="1" topLeftCell="B1" activePane="topRight" state="frozen"/>
      <selection pane="topRight" activeCell="J39" sqref="J39"/>
    </sheetView>
  </sheetViews>
  <sheetFormatPr baseColWidth="10" defaultColWidth="8.83203125" defaultRowHeight="12" x14ac:dyDescent="0"/>
  <cols>
    <col min="1" max="1" width="11.33203125" bestFit="1" customWidth="1"/>
    <col min="2" max="12" width="9.6640625" customWidth="1"/>
    <col min="13" max="13" width="10.5" bestFit="1" customWidth="1"/>
    <col min="14" max="14" width="11.1640625" bestFit="1" customWidth="1"/>
    <col min="15" max="15" width="9.5" bestFit="1" customWidth="1"/>
    <col min="16" max="16" width="10.1640625" bestFit="1" customWidth="1"/>
  </cols>
  <sheetData>
    <row r="1" spans="1:17" ht="17">
      <c r="A1" s="712" t="s">
        <v>363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</row>
    <row r="2" spans="1:17" ht="13" thickBot="1"/>
    <row r="3" spans="1:17" ht="13" thickBot="1">
      <c r="A3" s="129" t="s">
        <v>42</v>
      </c>
      <c r="B3" s="130" t="s">
        <v>2</v>
      </c>
      <c r="C3" s="131" t="s">
        <v>3</v>
      </c>
      <c r="D3" s="131" t="s">
        <v>4</v>
      </c>
      <c r="E3" s="131" t="s">
        <v>5</v>
      </c>
      <c r="F3" s="131" t="s">
        <v>6</v>
      </c>
      <c r="G3" s="131" t="s">
        <v>7</v>
      </c>
      <c r="H3" s="131" t="s">
        <v>8</v>
      </c>
      <c r="I3" s="131" t="s">
        <v>9</v>
      </c>
      <c r="J3" s="131" t="s">
        <v>10</v>
      </c>
      <c r="K3" s="131" t="s">
        <v>11</v>
      </c>
      <c r="L3" s="131" t="s">
        <v>12</v>
      </c>
      <c r="M3" s="398" t="s">
        <v>13</v>
      </c>
      <c r="N3" s="540" t="s">
        <v>359</v>
      </c>
      <c r="O3" s="472" t="s">
        <v>349</v>
      </c>
      <c r="P3" s="480" t="s">
        <v>16</v>
      </c>
      <c r="Q3" s="628" t="s">
        <v>58</v>
      </c>
    </row>
    <row r="4" spans="1:17">
      <c r="A4" s="482" t="s">
        <v>17</v>
      </c>
      <c r="B4" s="371">
        <f>'MTRT 2017'!B4</f>
        <v>12667.18</v>
      </c>
      <c r="C4" s="371">
        <f>'MTRT 2017'!C4</f>
        <v>28854.16</v>
      </c>
      <c r="D4" s="371">
        <f>'MTRT 2017'!D4</f>
        <v>1913.96</v>
      </c>
      <c r="E4" s="371">
        <f>'MTRT 2017'!E4</f>
        <v>11445.08</v>
      </c>
      <c r="F4" s="371">
        <v>26475.1</v>
      </c>
      <c r="G4" s="371">
        <f>'MTRT 2017'!G4</f>
        <v>15144.51</v>
      </c>
      <c r="H4" s="371">
        <f>'MTRT 2017'!H4</f>
        <v>16147.5</v>
      </c>
      <c r="I4" s="371">
        <f>'MTRT 2017'!I4</f>
        <v>43691.47</v>
      </c>
      <c r="J4" s="371">
        <f>'MTRT 2017'!J4</f>
        <v>28079.51</v>
      </c>
      <c r="K4" s="371">
        <f>'MTRT 2017'!K4</f>
        <v>0</v>
      </c>
      <c r="L4" s="371">
        <f>'MTRT 2017'!L4</f>
        <v>0</v>
      </c>
      <c r="M4" s="371">
        <f>'MTRT 2017'!M4</f>
        <v>0</v>
      </c>
      <c r="N4" s="541">
        <f t="shared" ref="N4:N32" si="0">SUM(B4:M4)</f>
        <v>184418.47</v>
      </c>
      <c r="O4" s="444">
        <f>SUM('TRT 2016'!B4:J4)</f>
        <v>202020.44</v>
      </c>
      <c r="P4" s="642">
        <f>N4/O4-1</f>
        <v>-8.7129648861273612E-2</v>
      </c>
      <c r="Q4" s="629">
        <f>N4/$N$33</f>
        <v>4.0232841440588484E-3</v>
      </c>
    </row>
    <row r="5" spans="1:17">
      <c r="A5" s="483" t="s">
        <v>18</v>
      </c>
      <c r="B5" s="371">
        <f>'MTRT 2017'!B6</f>
        <v>20669.12</v>
      </c>
      <c r="C5" s="371">
        <f>'MTRT 2017'!C6</f>
        <v>22014.240000000002</v>
      </c>
      <c r="D5" s="371">
        <f>'MTRT 2017'!D6</f>
        <v>15632.08</v>
      </c>
      <c r="E5" s="371">
        <f>'MTRT 2017'!E6</f>
        <v>24918.16</v>
      </c>
      <c r="F5" s="371">
        <v>28986.65</v>
      </c>
      <c r="G5" s="371">
        <f>'MTRT 2017'!G6</f>
        <v>21683.95</v>
      </c>
      <c r="H5" s="371">
        <f>'MTRT 2017'!H6</f>
        <v>33667.1</v>
      </c>
      <c r="I5" s="371">
        <f>'MTRT 2017'!I6</f>
        <v>42369.62</v>
      </c>
      <c r="J5" s="371">
        <f>'MTRT 2017'!J6</f>
        <v>35641.39</v>
      </c>
      <c r="K5" s="371">
        <f>'MTRT 2017'!K6</f>
        <v>0</v>
      </c>
      <c r="L5" s="371">
        <f>'MTRT 2017'!L6</f>
        <v>0</v>
      </c>
      <c r="M5" s="371">
        <f>'MTRT 2017'!M6</f>
        <v>0</v>
      </c>
      <c r="N5" s="542">
        <f t="shared" si="0"/>
        <v>245582.31</v>
      </c>
      <c r="O5" s="444">
        <f>SUM('TRT 2016'!B5:J5)</f>
        <v>205032.5</v>
      </c>
      <c r="P5" s="642">
        <f t="shared" ref="P5:P32" si="1">N5/O5-1</f>
        <v>0.19777259702730055</v>
      </c>
      <c r="Q5" s="629">
        <f t="shared" ref="Q5:Q33" si="2">N5/$N$33</f>
        <v>5.3576380602460526E-3</v>
      </c>
    </row>
    <row r="6" spans="1:17">
      <c r="A6" s="484" t="s">
        <v>19</v>
      </c>
      <c r="B6" s="371">
        <f>'MTRT 2017'!B10</f>
        <v>38818.449999999997</v>
      </c>
      <c r="C6" s="371">
        <f>'MTRT 2017'!C10</f>
        <v>31656.7</v>
      </c>
      <c r="D6" s="371">
        <f>'MTRT 2017'!D10</f>
        <v>36587.35</v>
      </c>
      <c r="E6" s="371">
        <f>'MTRT 2017'!E10</f>
        <v>41285.440000000002</v>
      </c>
      <c r="F6" s="371">
        <v>46783.01</v>
      </c>
      <c r="G6" s="371">
        <f>'MTRT 2017'!G10</f>
        <v>26466.89</v>
      </c>
      <c r="H6" s="371">
        <f>'MTRT 2017'!H10</f>
        <v>66796.179999999993</v>
      </c>
      <c r="I6" s="371">
        <f>'MTRT 2017'!I10</f>
        <v>69734.92</v>
      </c>
      <c r="J6" s="371">
        <f>'MTRT 2017'!J10</f>
        <v>104139.92</v>
      </c>
      <c r="K6" s="371">
        <f>'MTRT 2017'!K10</f>
        <v>0</v>
      </c>
      <c r="L6" s="371">
        <f>'MTRT 2017'!L10</f>
        <v>0</v>
      </c>
      <c r="M6" s="371">
        <f>'MTRT 2017'!M10</f>
        <v>0</v>
      </c>
      <c r="N6" s="542">
        <f t="shared" si="0"/>
        <v>462268.86</v>
      </c>
      <c r="O6" s="444">
        <f>SUM('TRT 2016'!B6:J6)</f>
        <v>383558.39</v>
      </c>
      <c r="P6" s="642">
        <f t="shared" si="1"/>
        <v>0.20521118049327502</v>
      </c>
      <c r="Q6" s="629">
        <f t="shared" si="2"/>
        <v>1.0084884527727401E-2</v>
      </c>
    </row>
    <row r="7" spans="1:17">
      <c r="A7" s="484" t="s">
        <v>20</v>
      </c>
      <c r="B7" s="371">
        <f>'MTRT 2017'!B13</f>
        <v>12870.48</v>
      </c>
      <c r="C7" s="371">
        <f>'MTRT 2017'!C13</f>
        <v>14806.43</v>
      </c>
      <c r="D7" s="371">
        <f>'MTRT 2017'!D13</f>
        <v>9109.5</v>
      </c>
      <c r="E7" s="371">
        <f>'MTRT 2017'!E13</f>
        <v>12003.09</v>
      </c>
      <c r="F7" s="371">
        <v>16409.080000000002</v>
      </c>
      <c r="G7" s="371">
        <f>'MTRT 2017'!G13</f>
        <v>19815.599999999999</v>
      </c>
      <c r="H7" s="371">
        <f>'MTRT 2017'!H13</f>
        <v>22324.43</v>
      </c>
      <c r="I7" s="371">
        <f>'MTRT 2017'!I13</f>
        <v>27468.94</v>
      </c>
      <c r="J7" s="371">
        <f>'MTRT 2017'!J13</f>
        <v>16433.150000000001</v>
      </c>
      <c r="K7" s="371">
        <f>'MTRT 2017'!K13</f>
        <v>0</v>
      </c>
      <c r="L7" s="371">
        <f>'MTRT 2017'!L13</f>
        <v>0</v>
      </c>
      <c r="M7" s="371">
        <f>'MTRT 2017'!M13</f>
        <v>0</v>
      </c>
      <c r="N7" s="542">
        <f t="shared" si="0"/>
        <v>151240.69999999998</v>
      </c>
      <c r="O7" s="444">
        <f>SUM('TRT 2016'!B7:J7)</f>
        <v>173728.12999999998</v>
      </c>
      <c r="P7" s="642">
        <f t="shared" si="1"/>
        <v>-0.12944035027603185</v>
      </c>
      <c r="Q7" s="629">
        <f t="shared" si="2"/>
        <v>3.2994759703101379E-3</v>
      </c>
    </row>
    <row r="8" spans="1:17">
      <c r="A8" s="484" t="s">
        <v>21</v>
      </c>
      <c r="B8" s="371">
        <f>'MTRT 2017'!B16</f>
        <v>2735.45</v>
      </c>
      <c r="C8" s="371">
        <f>'MTRT 2017'!C16</f>
        <v>2079.1</v>
      </c>
      <c r="D8" s="371">
        <f>'MTRT 2017'!D16</f>
        <v>1343.1</v>
      </c>
      <c r="E8" s="371">
        <f>'MTRT 2017'!E16</f>
        <v>1341.08</v>
      </c>
      <c r="F8" s="371">
        <v>4616.3999999999996</v>
      </c>
      <c r="G8" s="371">
        <f>'MTRT 2017'!G16</f>
        <v>15347.11</v>
      </c>
      <c r="H8" s="371">
        <f>'MTRT 2017'!H16</f>
        <v>18034.509999999998</v>
      </c>
      <c r="I8" s="371">
        <f>'MTRT 2017'!I16</f>
        <v>29898.71</v>
      </c>
      <c r="J8" s="371">
        <f>'MTRT 2017'!J16</f>
        <v>17904.64</v>
      </c>
      <c r="K8" s="371">
        <f>'MTRT 2017'!K16</f>
        <v>0</v>
      </c>
      <c r="L8" s="371">
        <f>'MTRT 2017'!L16</f>
        <v>0</v>
      </c>
      <c r="M8" s="371">
        <f>'MTRT 2017'!M16</f>
        <v>0</v>
      </c>
      <c r="N8" s="542">
        <f t="shared" si="0"/>
        <v>93300.099999999991</v>
      </c>
      <c r="O8" s="444">
        <f>SUM('TRT 2016'!B8:J8)</f>
        <v>76144.679999999993</v>
      </c>
      <c r="P8" s="642">
        <f t="shared" si="1"/>
        <v>0.22530030988376337</v>
      </c>
      <c r="Q8" s="629">
        <f t="shared" si="2"/>
        <v>2.035440446768184E-3</v>
      </c>
    </row>
    <row r="9" spans="1:17">
      <c r="A9" s="484" t="s">
        <v>22</v>
      </c>
      <c r="B9" s="371">
        <f>'MTRT 2017'!B17</f>
        <v>86639.21</v>
      </c>
      <c r="C9" s="371">
        <f>'MTRT 2017'!C17</f>
        <v>83417.87</v>
      </c>
      <c r="D9" s="371">
        <f>'MTRT 2017'!D17</f>
        <v>102354.67</v>
      </c>
      <c r="E9" s="371">
        <f>'MTRT 2017'!E17</f>
        <v>144741.04999999999</v>
      </c>
      <c r="F9" s="371">
        <v>152166.67000000001</v>
      </c>
      <c r="G9" s="371">
        <f>'MTRT 2017'!G17</f>
        <v>98785.36</v>
      </c>
      <c r="H9" s="371">
        <f>'MTRT 2017'!H17</f>
        <v>160712.70000000001</v>
      </c>
      <c r="I9" s="371">
        <f>'MTRT 2017'!I17</f>
        <v>212144.49</v>
      </c>
      <c r="J9" s="371">
        <f>'MTRT 2017'!J17</f>
        <v>198976.75</v>
      </c>
      <c r="K9" s="371">
        <f>'MTRT 2017'!K17</f>
        <v>0</v>
      </c>
      <c r="L9" s="371">
        <f>'MTRT 2017'!L17</f>
        <v>0</v>
      </c>
      <c r="M9" s="371">
        <f>'MTRT 2017'!M17</f>
        <v>0</v>
      </c>
      <c r="N9" s="542">
        <f t="shared" si="0"/>
        <v>1239938.77</v>
      </c>
      <c r="O9" s="444">
        <f>SUM('TRT 2016'!B9:J9)</f>
        <v>1086745.7</v>
      </c>
      <c r="P9" s="642">
        <f t="shared" si="1"/>
        <v>0.14096496540082937</v>
      </c>
      <c r="Q9" s="629">
        <f t="shared" si="2"/>
        <v>2.7050576837259477E-2</v>
      </c>
    </row>
    <row r="10" spans="1:17">
      <c r="A10" s="484" t="s">
        <v>23</v>
      </c>
      <c r="B10" s="371">
        <f>'MTRT 2017'!B25</f>
        <v>1290.01</v>
      </c>
      <c r="C10" s="371">
        <f>'MTRT 2017'!C25</f>
        <v>8055.31</v>
      </c>
      <c r="D10" s="371">
        <f>'MTRT 2017'!D25</f>
        <v>2367.42</v>
      </c>
      <c r="E10" s="371">
        <f>'MTRT 2017'!E25</f>
        <v>1492.79</v>
      </c>
      <c r="F10" s="371">
        <v>4364.63</v>
      </c>
      <c r="G10" s="371">
        <f>'MTRT 2017'!G25</f>
        <v>2050.46</v>
      </c>
      <c r="H10" s="371">
        <f>'MTRT 2017'!H25</f>
        <v>3167.06</v>
      </c>
      <c r="I10" s="371">
        <f>'MTRT 2017'!I25</f>
        <v>17335.169999999998</v>
      </c>
      <c r="J10" s="371">
        <f>'MTRT 2017'!J25</f>
        <v>10334.16</v>
      </c>
      <c r="K10" s="371">
        <f>'MTRT 2017'!K25</f>
        <v>0</v>
      </c>
      <c r="L10" s="371">
        <f>'MTRT 2017'!L25</f>
        <v>0</v>
      </c>
      <c r="M10" s="371">
        <f>'MTRT 2017'!M25</f>
        <v>0</v>
      </c>
      <c r="N10" s="542">
        <f t="shared" si="0"/>
        <v>50457.009999999995</v>
      </c>
      <c r="O10" s="444">
        <f>SUM('TRT 2016'!B10:J10)</f>
        <v>46045.82</v>
      </c>
      <c r="P10" s="642">
        <f t="shared" si="1"/>
        <v>9.5800009642569073E-2</v>
      </c>
      <c r="Q10" s="629">
        <f t="shared" si="2"/>
        <v>1.1007730857414593E-3</v>
      </c>
    </row>
    <row r="11" spans="1:17">
      <c r="A11" s="484" t="s">
        <v>51</v>
      </c>
      <c r="B11" s="371">
        <f>'MTRT 2017'!B27</f>
        <v>7939.63</v>
      </c>
      <c r="C11" s="371">
        <f>'MTRT 2017'!C27</f>
        <v>18508.490000000002</v>
      </c>
      <c r="D11" s="371">
        <f>'MTRT 2017'!D27</f>
        <v>6300.35</v>
      </c>
      <c r="E11" s="371">
        <f>'MTRT 2017'!E27</f>
        <v>24418.79</v>
      </c>
      <c r="F11" s="371">
        <v>34874.089999999997</v>
      </c>
      <c r="G11" s="371">
        <f>'MTRT 2017'!G27</f>
        <v>48657.08</v>
      </c>
      <c r="H11" s="371">
        <f>'MTRT 2017'!H27</f>
        <v>55788.04</v>
      </c>
      <c r="I11" s="371">
        <f>'MTRT 2017'!I27</f>
        <v>54728.62</v>
      </c>
      <c r="J11" s="371">
        <f>'MTRT 2017'!J27</f>
        <v>43885.09</v>
      </c>
      <c r="K11" s="371">
        <f>'MTRT 2017'!K27</f>
        <v>0</v>
      </c>
      <c r="L11" s="371">
        <f>'MTRT 2017'!L27</f>
        <v>0</v>
      </c>
      <c r="M11" s="371">
        <f>'MTRT 2017'!M27</f>
        <v>0</v>
      </c>
      <c r="N11" s="542">
        <f t="shared" si="0"/>
        <v>295100.18</v>
      </c>
      <c r="O11" s="444">
        <f>SUM('TRT 2016'!B11:J11)</f>
        <v>289379.78999999998</v>
      </c>
      <c r="P11" s="642">
        <f t="shared" si="1"/>
        <v>1.9767759179035949E-2</v>
      </c>
      <c r="Q11" s="629">
        <f t="shared" si="2"/>
        <v>6.4379228127362303E-3</v>
      </c>
    </row>
    <row r="12" spans="1:17">
      <c r="A12" s="484" t="s">
        <v>24</v>
      </c>
      <c r="B12" s="371">
        <f>'MTRT 2017'!B29</f>
        <v>51657</v>
      </c>
      <c r="C12" s="371">
        <f>'MTRT 2017'!C29</f>
        <v>67605</v>
      </c>
      <c r="D12" s="371">
        <f>'MTRT 2017'!D29</f>
        <v>28999.200000000001</v>
      </c>
      <c r="E12" s="371">
        <f>'MTRT 2017'!E29</f>
        <v>44208.42</v>
      </c>
      <c r="F12" s="371">
        <v>88570.4</v>
      </c>
      <c r="G12" s="371">
        <f>'MTRT 2017'!G29</f>
        <v>157884.85</v>
      </c>
      <c r="H12" s="371">
        <f>'MTRT 2017'!H29</f>
        <v>239596.46</v>
      </c>
      <c r="I12" s="371">
        <f>'MTRT 2017'!I29</f>
        <v>331522.48</v>
      </c>
      <c r="J12" s="371">
        <f>'MTRT 2017'!J29</f>
        <v>238276.07</v>
      </c>
      <c r="K12" s="371">
        <f>'MTRT 2017'!K29</f>
        <v>0</v>
      </c>
      <c r="L12" s="371">
        <f>'MTRT 2017'!L29</f>
        <v>0</v>
      </c>
      <c r="M12" s="371">
        <f>'MTRT 2017'!M29</f>
        <v>0</v>
      </c>
      <c r="N12" s="542">
        <f t="shared" si="0"/>
        <v>1248319.8799999999</v>
      </c>
      <c r="O12" s="444">
        <f>SUM('TRT 2016'!B12:J12)</f>
        <v>1130724.1800000002</v>
      </c>
      <c r="P12" s="642">
        <f t="shared" si="1"/>
        <v>0.10400034073738462</v>
      </c>
      <c r="Q12" s="629">
        <f t="shared" si="2"/>
        <v>2.7233419623953307E-2</v>
      </c>
    </row>
    <row r="13" spans="1:17">
      <c r="A13" s="484" t="s">
        <v>25</v>
      </c>
      <c r="B13" s="371">
        <f>'MTRT 2017'!B31</f>
        <v>229075.26</v>
      </c>
      <c r="C13" s="371">
        <f>'MTRT 2017'!C31</f>
        <v>179624.53</v>
      </c>
      <c r="D13" s="371">
        <f>'MTRT 2017'!D31</f>
        <v>62188.27</v>
      </c>
      <c r="E13" s="371">
        <v>179326.14</v>
      </c>
      <c r="F13" s="371">
        <v>452239.99</v>
      </c>
      <c r="G13" s="371">
        <f>'MTRT 2017'!G31</f>
        <v>483819.28</v>
      </c>
      <c r="H13" s="371">
        <f>'MTRT 2017'!H31</f>
        <v>586563.92000000004</v>
      </c>
      <c r="I13" s="371">
        <f>'MTRT 2017'!I31</f>
        <v>705444.75</v>
      </c>
      <c r="J13" s="371">
        <f>'MTRT 2017'!J31</f>
        <v>468946.94</v>
      </c>
      <c r="K13" s="371">
        <f>'MTRT 2017'!K31</f>
        <v>0</v>
      </c>
      <c r="L13" s="371">
        <f>'MTRT 2017'!L31</f>
        <v>0</v>
      </c>
      <c r="M13" s="371">
        <f>'MTRT 2017'!M31</f>
        <v>0</v>
      </c>
      <c r="N13" s="542">
        <f t="shared" si="0"/>
        <v>3347229.08</v>
      </c>
      <c r="O13" s="444">
        <f>SUM('TRT 2016'!B13:J13)</f>
        <v>2830865.26</v>
      </c>
      <c r="P13" s="642">
        <f t="shared" si="1"/>
        <v>0.1824049442748823</v>
      </c>
      <c r="Q13" s="629">
        <f t="shared" si="2"/>
        <v>7.302334567734288E-2</v>
      </c>
    </row>
    <row r="14" spans="1:17">
      <c r="A14" s="484" t="s">
        <v>26</v>
      </c>
      <c r="B14" s="371">
        <f>'MTRT 2017'!B33</f>
        <v>57653.78</v>
      </c>
      <c r="C14" s="371">
        <f>'MTRT 2017'!C33</f>
        <v>143598.81</v>
      </c>
      <c r="D14" s="371">
        <f>'MTRT 2017'!D33</f>
        <v>69020.56</v>
      </c>
      <c r="E14" s="371">
        <f>'MTRT 2017'!E33</f>
        <v>91305.7</v>
      </c>
      <c r="F14" s="371">
        <v>127687.98</v>
      </c>
      <c r="G14" s="371">
        <f>'MTRT 2017'!G33</f>
        <v>82311.09</v>
      </c>
      <c r="H14" s="371">
        <f>'MTRT 2017'!H33</f>
        <v>85916.77</v>
      </c>
      <c r="I14" s="371">
        <f>'MTRT 2017'!I33</f>
        <v>172473.58</v>
      </c>
      <c r="J14" s="371">
        <f>'MTRT 2017'!J33</f>
        <v>156980.03</v>
      </c>
      <c r="K14" s="371">
        <f>'MTRT 2017'!K33</f>
        <v>0</v>
      </c>
      <c r="L14" s="371">
        <f>'MTRT 2017'!L33</f>
        <v>0</v>
      </c>
      <c r="M14" s="371">
        <f>'MTRT 2017'!M33</f>
        <v>0</v>
      </c>
      <c r="N14" s="542">
        <f t="shared" si="0"/>
        <v>986948.3</v>
      </c>
      <c r="O14" s="444">
        <f>SUM('TRT 2016'!B14:J14)</f>
        <v>955971.14</v>
      </c>
      <c r="P14" s="642">
        <f t="shared" si="1"/>
        <v>3.2403865246392272E-2</v>
      </c>
      <c r="Q14" s="629">
        <f t="shared" si="2"/>
        <v>2.1531321924511335E-2</v>
      </c>
    </row>
    <row r="15" spans="1:17">
      <c r="A15" s="484" t="s">
        <v>27</v>
      </c>
      <c r="B15" s="371">
        <f>'MTRT 2017'!B36</f>
        <v>2067.16</v>
      </c>
      <c r="C15" s="371">
        <f>'MTRT 2017'!C36</f>
        <v>11476.03</v>
      </c>
      <c r="D15" s="371">
        <f>'MTRT 2017'!D36</f>
        <v>1573.47</v>
      </c>
      <c r="E15" s="371">
        <f>'MTRT 2017'!E36</f>
        <v>1731.61</v>
      </c>
      <c r="F15" s="371">
        <v>12773.89</v>
      </c>
      <c r="G15" s="371">
        <f>'MTRT 2017'!G36</f>
        <v>3290.36</v>
      </c>
      <c r="H15" s="371">
        <f>'MTRT 2017'!H36</f>
        <v>4008.76</v>
      </c>
      <c r="I15" s="371">
        <f>'MTRT 2017'!I36</f>
        <v>18206.68</v>
      </c>
      <c r="J15" s="371">
        <f>'MTRT 2017'!J36</f>
        <v>8427.26</v>
      </c>
      <c r="K15" s="371">
        <f>'MTRT 2017'!K36</f>
        <v>0</v>
      </c>
      <c r="L15" s="371">
        <f>'MTRT 2017'!L36</f>
        <v>0</v>
      </c>
      <c r="M15" s="371">
        <f>'MTRT 2017'!M36</f>
        <v>0</v>
      </c>
      <c r="N15" s="542">
        <f t="shared" si="0"/>
        <v>63555.22</v>
      </c>
      <c r="O15" s="444">
        <f>SUM('TRT 2016'!B15:J15)</f>
        <v>60055.8</v>
      </c>
      <c r="P15" s="642">
        <f t="shared" si="1"/>
        <v>5.8269476053936398E-2</v>
      </c>
      <c r="Q15" s="629">
        <f t="shared" si="2"/>
        <v>1.3865244023452306E-3</v>
      </c>
    </row>
    <row r="16" spans="1:17">
      <c r="A16" s="484" t="s">
        <v>28</v>
      </c>
      <c r="B16" s="371">
        <f>'MTRT 2017'!B38</f>
        <v>126370.81</v>
      </c>
      <c r="C16" s="371">
        <f>'MTRT 2017'!C38</f>
        <v>101596.25</v>
      </c>
      <c r="D16" s="371">
        <f>'MTRT 2017'!D38</f>
        <v>78950.5</v>
      </c>
      <c r="E16" s="371">
        <f>'MTRT 2017'!E38</f>
        <v>146230.13</v>
      </c>
      <c r="F16" s="371">
        <v>197166.19</v>
      </c>
      <c r="G16" s="371">
        <f>'MTRT 2017'!G38</f>
        <v>124631.78</v>
      </c>
      <c r="H16" s="371">
        <f>'MTRT 2017'!H38</f>
        <v>280108.46000000002</v>
      </c>
      <c r="I16" s="371">
        <f>'MTRT 2017'!I38</f>
        <v>474322.94</v>
      </c>
      <c r="J16" s="371">
        <f>'MTRT 2017'!J38</f>
        <v>206760.23</v>
      </c>
      <c r="K16" s="371">
        <f>'MTRT 2017'!K38</f>
        <v>0</v>
      </c>
      <c r="L16" s="371">
        <f>'MTRT 2017'!L38</f>
        <v>0</v>
      </c>
      <c r="M16" s="371">
        <f>'MTRT 2017'!M38</f>
        <v>0</v>
      </c>
      <c r="N16" s="542">
        <f t="shared" si="0"/>
        <v>1736137.29</v>
      </c>
      <c r="O16" s="444">
        <f>SUM('TRT 2016'!B16:J16)</f>
        <v>1512911.48</v>
      </c>
      <c r="P16" s="642">
        <f t="shared" si="1"/>
        <v>0.14754717176182708</v>
      </c>
      <c r="Q16" s="629">
        <f t="shared" si="2"/>
        <v>3.7875672815018468E-2</v>
      </c>
    </row>
    <row r="17" spans="1:17">
      <c r="A17" s="484" t="s">
        <v>52</v>
      </c>
      <c r="B17" s="371">
        <f>'MTRT 2017'!B41</f>
        <v>5084.62</v>
      </c>
      <c r="C17" s="371">
        <f>'MTRT 2017'!C41</f>
        <v>11317.9</v>
      </c>
      <c r="D17" s="371">
        <f>'MTRT 2017'!D41</f>
        <v>5398.14</v>
      </c>
      <c r="E17" s="371">
        <f>'MTRT 2017'!E41</f>
        <v>6665.03</v>
      </c>
      <c r="F17" s="371">
        <v>12244.73</v>
      </c>
      <c r="G17" s="371">
        <f>'MTRT 2017'!G41</f>
        <v>11534.85</v>
      </c>
      <c r="H17" s="371">
        <f>'MTRT 2017'!H41</f>
        <v>18324.13</v>
      </c>
      <c r="I17" s="371">
        <f>'MTRT 2017'!I41</f>
        <v>23962.63</v>
      </c>
      <c r="J17" s="371">
        <f>'MTRT 2017'!J41</f>
        <v>12996.7</v>
      </c>
      <c r="K17" s="371">
        <f>'MTRT 2017'!K41</f>
        <v>0</v>
      </c>
      <c r="L17" s="371">
        <f>'MTRT 2017'!L41</f>
        <v>0</v>
      </c>
      <c r="M17" s="371">
        <f>'MTRT 2017'!M41</f>
        <v>0</v>
      </c>
      <c r="N17" s="542">
        <f t="shared" si="0"/>
        <v>107528.73</v>
      </c>
      <c r="O17" s="444">
        <f>SUM('TRT 2016'!B17:J17)</f>
        <v>115608.09000000001</v>
      </c>
      <c r="P17" s="642">
        <f t="shared" si="1"/>
        <v>-6.9885766644877667E-2</v>
      </c>
      <c r="Q17" s="629">
        <f t="shared" si="2"/>
        <v>2.3458530723076982E-3</v>
      </c>
    </row>
    <row r="18" spans="1:17">
      <c r="A18" s="484" t="s">
        <v>29</v>
      </c>
      <c r="B18" s="371">
        <f>'MTRT 2017'!B44</f>
        <v>446.29</v>
      </c>
      <c r="C18" s="371">
        <f>'MTRT 2017'!C44</f>
        <v>1585.39</v>
      </c>
      <c r="D18" s="371">
        <f>'MTRT 2017'!D44</f>
        <v>852.82</v>
      </c>
      <c r="E18" s="371">
        <f>'MTRT 2017'!E44</f>
        <v>1225.3399999999999</v>
      </c>
      <c r="F18" s="371">
        <v>876.16</v>
      </c>
      <c r="G18" s="371">
        <f>'MTRT 2017'!G44</f>
        <v>325.22000000000003</v>
      </c>
      <c r="H18" s="371">
        <f>'MTRT 2017'!H44</f>
        <v>1278.4100000000001</v>
      </c>
      <c r="I18" s="371">
        <f>'MTRT 2017'!I44</f>
        <v>2477.52</v>
      </c>
      <c r="J18" s="371">
        <f>'MTRT 2017'!J44</f>
        <v>1742.34</v>
      </c>
      <c r="K18" s="371">
        <f>'MTRT 2017'!K44</f>
        <v>0</v>
      </c>
      <c r="L18" s="371">
        <f>'MTRT 2017'!L44</f>
        <v>0</v>
      </c>
      <c r="M18" s="371">
        <f>'MTRT 2017'!M44</f>
        <v>0</v>
      </c>
      <c r="N18" s="542">
        <f t="shared" si="0"/>
        <v>10809.49</v>
      </c>
      <c r="O18" s="444">
        <f>SUM('TRT 2016'!B18:J18)</f>
        <v>4613.17</v>
      </c>
      <c r="P18" s="642">
        <f t="shared" si="1"/>
        <v>1.343180502777916</v>
      </c>
      <c r="Q18" s="629">
        <f t="shared" si="2"/>
        <v>2.3582046701918027E-4</v>
      </c>
    </row>
    <row r="19" spans="1:17">
      <c r="A19" s="484" t="s">
        <v>53</v>
      </c>
      <c r="B19" s="371">
        <f>'MTRT 2017'!B46</f>
        <v>591.71</v>
      </c>
      <c r="C19" s="371">
        <f>'MTRT 2017'!C46</f>
        <v>1841.44</v>
      </c>
      <c r="D19" s="371">
        <f>'MTRT 2017'!D46</f>
        <v>109.94</v>
      </c>
      <c r="E19" s="371">
        <f>'MTRT 2017'!E46</f>
        <v>669.92</v>
      </c>
      <c r="F19" s="371">
        <v>793.07</v>
      </c>
      <c r="G19" s="371">
        <f>'MTRT 2017'!G46</f>
        <v>196.18</v>
      </c>
      <c r="H19" s="371">
        <f>'MTRT 2017'!H46</f>
        <v>1905.26</v>
      </c>
      <c r="I19" s="371">
        <f>'MTRT 2017'!I46</f>
        <v>6511.38</v>
      </c>
      <c r="J19" s="371">
        <f>'MTRT 2017'!J46</f>
        <v>543.13</v>
      </c>
      <c r="K19" s="371">
        <f>'MTRT 2017'!K46</f>
        <v>0</v>
      </c>
      <c r="L19" s="371">
        <f>'MTRT 2017'!L46</f>
        <v>0</v>
      </c>
      <c r="M19" s="371">
        <f>'MTRT 2017'!M46</f>
        <v>0</v>
      </c>
      <c r="N19" s="542">
        <f t="shared" si="0"/>
        <v>13162.03</v>
      </c>
      <c r="O19" s="444">
        <f>SUM('TRT 2016'!B19:J19)</f>
        <v>10910.91</v>
      </c>
      <c r="P19" s="642">
        <f t="shared" si="1"/>
        <v>0.20631826309629542</v>
      </c>
      <c r="Q19" s="629">
        <f t="shared" si="2"/>
        <v>2.8714361746210609E-4</v>
      </c>
    </row>
    <row r="20" spans="1:17">
      <c r="A20" s="484" t="s">
        <v>30</v>
      </c>
      <c r="B20" s="371">
        <f>'MTRT 2017'!B47</f>
        <v>0</v>
      </c>
      <c r="C20" s="371">
        <f>'MTRT 2017'!C47</f>
        <v>10823.52</v>
      </c>
      <c r="D20" s="371">
        <f>'MTRT 2017'!D47</f>
        <v>4455.7299999999996</v>
      </c>
      <c r="E20" s="371">
        <f>'MTRT 2017'!E47</f>
        <v>6409.78</v>
      </c>
      <c r="F20" s="371">
        <v>10196.299999999999</v>
      </c>
      <c r="G20" s="371">
        <f>'MTRT 2017'!G47</f>
        <v>1747.47</v>
      </c>
      <c r="H20" s="371">
        <f>'MTRT 2017'!H47</f>
        <v>10794.34</v>
      </c>
      <c r="I20" s="371">
        <f>'MTRT 2017'!I47</f>
        <v>62308.43</v>
      </c>
      <c r="J20" s="371">
        <f>'MTRT 2017'!J47</f>
        <v>43362.93</v>
      </c>
      <c r="K20" s="371">
        <f>'MTRT 2017'!K47</f>
        <v>0</v>
      </c>
      <c r="L20" s="371">
        <f>'MTRT 2017'!L47</f>
        <v>0</v>
      </c>
      <c r="M20" s="371">
        <f>'MTRT 2017'!M47</f>
        <v>0</v>
      </c>
      <c r="N20" s="542">
        <f t="shared" si="0"/>
        <v>150098.5</v>
      </c>
      <c r="O20" s="444">
        <f>SUM('TRT 2016'!B20:J20)</f>
        <v>148533.6</v>
      </c>
      <c r="P20" s="642">
        <f t="shared" si="1"/>
        <v>1.0535663311196819E-2</v>
      </c>
      <c r="Q20" s="629">
        <f t="shared" si="2"/>
        <v>3.2745576682043677E-3</v>
      </c>
    </row>
    <row r="21" spans="1:17">
      <c r="A21" s="484" t="s">
        <v>31</v>
      </c>
      <c r="B21" s="371">
        <f>'MTRT 2017'!B48</f>
        <v>1111242.1499999999</v>
      </c>
      <c r="C21" s="371">
        <f>'MTRT 2017'!C48</f>
        <v>1314473.2</v>
      </c>
      <c r="D21" s="371">
        <f>'MTRT 2017'!D48</f>
        <v>1565718.51</v>
      </c>
      <c r="E21" s="371">
        <f>'MTRT 2017'!E48</f>
        <v>1804344.02</v>
      </c>
      <c r="F21" s="371">
        <v>2099598.75</v>
      </c>
      <c r="G21" s="371">
        <f>'MTRT 2017'!G48</f>
        <v>1244325.76</v>
      </c>
      <c r="H21" s="371">
        <f>'MTRT 2017'!H48</f>
        <v>1330662.1599999999</v>
      </c>
      <c r="I21" s="371">
        <f>'MTRT 2017'!I48</f>
        <v>2037788.32</v>
      </c>
      <c r="J21" s="371">
        <f>'MTRT 2017'!J48</f>
        <v>1847388.95</v>
      </c>
      <c r="K21" s="371">
        <f>'MTRT 2017'!K48</f>
        <v>0</v>
      </c>
      <c r="L21" s="371">
        <f>'MTRT 2017'!L48</f>
        <v>0</v>
      </c>
      <c r="M21" s="371">
        <f>'MTRT 2017'!M48</f>
        <v>0</v>
      </c>
      <c r="N21" s="542">
        <f t="shared" si="0"/>
        <v>14355541.819999998</v>
      </c>
      <c r="O21" s="444">
        <f>SUM('TRT 2016'!B21:J21)</f>
        <v>12303675.789999999</v>
      </c>
      <c r="P21" s="642">
        <f t="shared" si="1"/>
        <v>0.16676853852632267</v>
      </c>
      <c r="Q21" s="629">
        <f t="shared" si="2"/>
        <v>0.31318134123864982</v>
      </c>
    </row>
    <row r="22" spans="1:17">
      <c r="A22" s="484" t="s">
        <v>45</v>
      </c>
      <c r="B22" s="371">
        <f>'MTRT 2017'!B61</f>
        <v>28880.98</v>
      </c>
      <c r="C22" s="371">
        <f>'MTRT 2017'!C61</f>
        <v>46004.52</v>
      </c>
      <c r="D22" s="371">
        <f>'MTRT 2017'!D61</f>
        <v>10781.31</v>
      </c>
      <c r="E22" s="371">
        <f>'MTRT 2017'!E61</f>
        <v>30824.47</v>
      </c>
      <c r="F22" s="371">
        <v>56259.61</v>
      </c>
      <c r="G22" s="371">
        <f>'MTRT 2017'!G61</f>
        <v>78310.070000000007</v>
      </c>
      <c r="H22" s="371">
        <f>'MTRT 2017'!H61</f>
        <v>99163.97</v>
      </c>
      <c r="I22" s="371">
        <f>'MTRT 2017'!I61</f>
        <v>140457.07</v>
      </c>
      <c r="J22" s="371">
        <f>'MTRT 2017'!J61</f>
        <v>101325.07</v>
      </c>
      <c r="K22" s="371">
        <f>'MTRT 2017'!K61</f>
        <v>0</v>
      </c>
      <c r="L22" s="371">
        <f>'MTRT 2017'!L61</f>
        <v>0</v>
      </c>
      <c r="M22" s="371">
        <f>'MTRT 2017'!M61</f>
        <v>0</v>
      </c>
      <c r="N22" s="542">
        <f t="shared" si="0"/>
        <v>592007.07000000007</v>
      </c>
      <c r="O22" s="444">
        <f>SUM('TRT 2016'!B22:J22)</f>
        <v>536627.12</v>
      </c>
      <c r="P22" s="642">
        <f t="shared" si="1"/>
        <v>0.1032000581707464</v>
      </c>
      <c r="Q22" s="629">
        <f t="shared" si="2"/>
        <v>1.2915260916662724E-2</v>
      </c>
    </row>
    <row r="23" spans="1:17">
      <c r="A23" s="484" t="s">
        <v>32</v>
      </c>
      <c r="B23" s="371">
        <f>'MTRT 2017'!B64</f>
        <v>4128.75</v>
      </c>
      <c r="C23" s="371">
        <f>'MTRT 2017'!C64</f>
        <v>12103.26</v>
      </c>
      <c r="D23" s="371">
        <f>'MTRT 2017'!D64</f>
        <v>1133.98</v>
      </c>
      <c r="E23" s="371">
        <f>'MTRT 2017'!E64</f>
        <v>5212.8599999999997</v>
      </c>
      <c r="F23" s="371">
        <v>15150.64</v>
      </c>
      <c r="G23" s="371">
        <f>'MTRT 2017'!G64</f>
        <v>1504.34</v>
      </c>
      <c r="H23" s="371">
        <f>'MTRT 2017'!H64</f>
        <v>5305.07</v>
      </c>
      <c r="I23" s="371">
        <f>'MTRT 2017'!I64</f>
        <v>34673.54</v>
      </c>
      <c r="J23" s="371">
        <f>'MTRT 2017'!J64</f>
        <v>6004.17</v>
      </c>
      <c r="K23" s="371">
        <f>'MTRT 2017'!K64</f>
        <v>0</v>
      </c>
      <c r="L23" s="371">
        <f>'MTRT 2017'!L64</f>
        <v>0</v>
      </c>
      <c r="M23" s="371">
        <f>'MTRT 2017'!M64</f>
        <v>0</v>
      </c>
      <c r="N23" s="542">
        <f t="shared" si="0"/>
        <v>85216.61</v>
      </c>
      <c r="O23" s="444">
        <f>SUM('TRT 2016'!B23:J23)</f>
        <v>76454.910000000018</v>
      </c>
      <c r="P23" s="642">
        <f t="shared" si="1"/>
        <v>0.1145995724800406</v>
      </c>
      <c r="Q23" s="629">
        <f t="shared" si="2"/>
        <v>1.8590905554278091E-3</v>
      </c>
    </row>
    <row r="24" spans="1:17">
      <c r="A24" s="484" t="s">
        <v>33</v>
      </c>
      <c r="B24" s="371">
        <f>'MTRT 2017'!B65</f>
        <v>24817.78</v>
      </c>
      <c r="C24" s="371">
        <f>'MTRT 2017'!C65</f>
        <v>29026.78</v>
      </c>
      <c r="D24" s="371">
        <f>'MTRT 2017'!D65</f>
        <v>25541.3</v>
      </c>
      <c r="E24" s="371">
        <f>'MTRT 2017'!E65</f>
        <v>27802.68</v>
      </c>
      <c r="F24" s="371">
        <v>38029.03</v>
      </c>
      <c r="G24" s="371">
        <f>'MTRT 2017'!G65</f>
        <v>34332.400000000001</v>
      </c>
      <c r="H24" s="371">
        <f>'MTRT 2017'!H65</f>
        <v>108346.97</v>
      </c>
      <c r="I24" s="371">
        <f>'MTRT 2017'!I65</f>
        <v>85715.59</v>
      </c>
      <c r="J24" s="371">
        <f>'MTRT 2017'!J65</f>
        <v>64944.51</v>
      </c>
      <c r="K24" s="371">
        <f>'MTRT 2017'!K65</f>
        <v>0</v>
      </c>
      <c r="L24" s="371">
        <f>'MTRT 2017'!L65</f>
        <v>0</v>
      </c>
      <c r="M24" s="371">
        <f>'MTRT 2017'!M65</f>
        <v>0</v>
      </c>
      <c r="N24" s="542">
        <f t="shared" si="0"/>
        <v>438557.04000000004</v>
      </c>
      <c r="O24" s="444">
        <f>SUM('TRT 2016'!B24:J24)</f>
        <v>374946.88999999996</v>
      </c>
      <c r="P24" s="642">
        <f t="shared" si="1"/>
        <v>0.16965109378557619</v>
      </c>
      <c r="Q24" s="629">
        <f t="shared" si="2"/>
        <v>9.5675860736583618E-3</v>
      </c>
    </row>
    <row r="25" spans="1:17">
      <c r="A25" s="484" t="s">
        <v>34</v>
      </c>
      <c r="B25" s="371">
        <f>'MTRT 2017'!B69</f>
        <v>519167.58</v>
      </c>
      <c r="C25" s="371">
        <f>'MTRT 2017'!C69</f>
        <v>1462270.17</v>
      </c>
      <c r="D25" s="371">
        <f>'MTRT 2017'!D69</f>
        <v>1739312.81</v>
      </c>
      <c r="E25" s="371">
        <f>'MTRT 2017'!E69</f>
        <v>1690532.26</v>
      </c>
      <c r="F25" s="371">
        <v>1614707.12</v>
      </c>
      <c r="G25" s="371">
        <f>'MTRT 2017'!G69</f>
        <v>216725.72</v>
      </c>
      <c r="H25" s="371">
        <f>'MTRT 2017'!H69</f>
        <v>208290.62</v>
      </c>
      <c r="I25" s="371">
        <f>'MTRT 2017'!I69</f>
        <v>422240.86</v>
      </c>
      <c r="J25" s="371">
        <f>'MTRT 2017'!J69</f>
        <v>535443.31999999995</v>
      </c>
      <c r="K25" s="371">
        <f>'MTRT 2017'!K69</f>
        <v>0</v>
      </c>
      <c r="L25" s="371">
        <f>'MTRT 2017'!L69</f>
        <v>0</v>
      </c>
      <c r="M25" s="371">
        <f>'MTRT 2017'!M69</f>
        <v>0</v>
      </c>
      <c r="N25" s="542">
        <f t="shared" si="0"/>
        <v>8408690.4600000009</v>
      </c>
      <c r="O25" s="444">
        <f>SUM('TRT 2016'!B25:J25)</f>
        <v>7517468.1700000009</v>
      </c>
      <c r="P25" s="642">
        <f t="shared" si="1"/>
        <v>0.11855351693494431</v>
      </c>
      <c r="Q25" s="629">
        <f t="shared" si="2"/>
        <v>0.18344448362475249</v>
      </c>
    </row>
    <row r="26" spans="1:17">
      <c r="A26" s="484" t="s">
        <v>35</v>
      </c>
      <c r="B26" s="371">
        <f>'MTRT 2017'!B70</f>
        <v>22164.67</v>
      </c>
      <c r="C26" s="371">
        <f>'MTRT 2017'!C70</f>
        <v>25672.78</v>
      </c>
      <c r="D26" s="371">
        <f>'MTRT 2017'!D70</f>
        <v>19341.09</v>
      </c>
      <c r="E26" s="371">
        <f>'MTRT 2017'!E70</f>
        <v>24677.07</v>
      </c>
      <c r="F26" s="371">
        <v>38476.65</v>
      </c>
      <c r="G26" s="371">
        <f>'MTRT 2017'!G70</f>
        <v>27076.59</v>
      </c>
      <c r="H26" s="371">
        <f>'MTRT 2017'!H70</f>
        <v>47701.75</v>
      </c>
      <c r="I26" s="371">
        <f>'MTRT 2017'!I70</f>
        <v>43131.01</v>
      </c>
      <c r="J26" s="371">
        <f>'MTRT 2017'!J70</f>
        <v>52996.79</v>
      </c>
      <c r="K26" s="371">
        <f>'MTRT 2017'!K70</f>
        <v>0</v>
      </c>
      <c r="L26" s="371">
        <f>'MTRT 2017'!L70</f>
        <v>0</v>
      </c>
      <c r="M26" s="371">
        <f>'MTRT 2017'!M70</f>
        <v>0</v>
      </c>
      <c r="N26" s="542">
        <f t="shared" si="0"/>
        <v>301238.39999999997</v>
      </c>
      <c r="O26" s="444">
        <f>SUM('TRT 2016'!B26:J26)</f>
        <v>259075.13</v>
      </c>
      <c r="P26" s="642">
        <f t="shared" si="1"/>
        <v>0.16274533954687187</v>
      </c>
      <c r="Q26" s="629">
        <f t="shared" si="2"/>
        <v>6.5718345798100207E-3</v>
      </c>
    </row>
    <row r="27" spans="1:17">
      <c r="A27" s="484" t="s">
        <v>36</v>
      </c>
      <c r="B27" s="371">
        <f>'MTRT 2017'!B72</f>
        <v>33289.72</v>
      </c>
      <c r="C27" s="371">
        <f>'MTRT 2017'!C72</f>
        <v>18270.03</v>
      </c>
      <c r="D27" s="371">
        <f>'MTRT 2017'!D72</f>
        <v>20073.259999999998</v>
      </c>
      <c r="E27" s="371">
        <f>'MTRT 2017'!E72</f>
        <v>26145.42</v>
      </c>
      <c r="F27" s="371">
        <v>37839.879999999997</v>
      </c>
      <c r="G27" s="371">
        <f>'MTRT 2017'!G72</f>
        <v>41697.019999999997</v>
      </c>
      <c r="H27" s="371">
        <f>'MTRT 2017'!H72</f>
        <v>38737.89</v>
      </c>
      <c r="I27" s="371">
        <f>'MTRT 2017'!I72</f>
        <v>76319.45</v>
      </c>
      <c r="J27" s="371">
        <f>'MTRT 2017'!J72</f>
        <v>48806.58</v>
      </c>
      <c r="K27" s="371">
        <f>'MTRT 2017'!K72</f>
        <v>0</v>
      </c>
      <c r="L27" s="371">
        <f>'MTRT 2017'!L72</f>
        <v>0</v>
      </c>
      <c r="M27" s="371">
        <f>'MTRT 2017'!M72</f>
        <v>0</v>
      </c>
      <c r="N27" s="542">
        <f t="shared" si="0"/>
        <v>341179.25</v>
      </c>
      <c r="O27" s="444">
        <f>SUM('TRT 2016'!B27:J27)</f>
        <v>356969</v>
      </c>
      <c r="P27" s="642">
        <f t="shared" si="1"/>
        <v>-4.4232832542881906E-2</v>
      </c>
      <c r="Q27" s="629">
        <f t="shared" si="2"/>
        <v>7.4431865029944665E-3</v>
      </c>
    </row>
    <row r="28" spans="1:17">
      <c r="A28" s="484" t="s">
        <v>37</v>
      </c>
      <c r="B28" s="371">
        <f>'MTRT 2017'!B76</f>
        <v>231474.79</v>
      </c>
      <c r="C28" s="371">
        <f>'MTRT 2017'!C76</f>
        <v>216356.88</v>
      </c>
      <c r="D28" s="371">
        <f>'MTRT 2017'!D76</f>
        <v>208435.43</v>
      </c>
      <c r="E28" s="371">
        <f>'MTRT 2017'!E76</f>
        <v>273293.92</v>
      </c>
      <c r="F28" s="371">
        <v>297256.21000000002</v>
      </c>
      <c r="G28" s="371">
        <f>'MTRT 2017'!G76</f>
        <v>219500.31</v>
      </c>
      <c r="H28" s="371">
        <f>'MTRT 2017'!H76</f>
        <v>292036.84999999998</v>
      </c>
      <c r="I28" s="371">
        <f>'MTRT 2017'!I76</f>
        <v>415648.52</v>
      </c>
      <c r="J28" s="371">
        <f>'MTRT 2017'!J76</f>
        <v>380273.53</v>
      </c>
      <c r="K28" s="371">
        <f>'MTRT 2017'!K76</f>
        <v>0</v>
      </c>
      <c r="L28" s="371">
        <f>'MTRT 2017'!L76</f>
        <v>0</v>
      </c>
      <c r="M28" s="371">
        <f>'MTRT 2017'!M76</f>
        <v>0</v>
      </c>
      <c r="N28" s="542">
        <f t="shared" si="0"/>
        <v>2534276.4400000004</v>
      </c>
      <c r="O28" s="444">
        <f>SUM('TRT 2016'!B28:J28)</f>
        <v>2265363.2000000002</v>
      </c>
      <c r="P28" s="642">
        <f t="shared" si="1"/>
        <v>0.11870645731333518</v>
      </c>
      <c r="Q28" s="629">
        <f t="shared" si="2"/>
        <v>5.5287923263401484E-2</v>
      </c>
    </row>
    <row r="29" spans="1:17">
      <c r="A29" s="484" t="s">
        <v>38</v>
      </c>
      <c r="B29" s="371">
        <f>'MTRT 2017'!B83</f>
        <v>46871.39</v>
      </c>
      <c r="C29" s="371">
        <f>'MTRT 2017'!C83</f>
        <v>259599.06</v>
      </c>
      <c r="D29" s="371">
        <f>'MTRT 2017'!D83</f>
        <v>271904.98</v>
      </c>
      <c r="E29" s="371">
        <f>'MTRT 2017'!E83</f>
        <v>237293.63</v>
      </c>
      <c r="F29" s="371">
        <v>220503.9</v>
      </c>
      <c r="G29" s="371">
        <f>'MTRT 2017'!G83</f>
        <v>53704.73</v>
      </c>
      <c r="H29" s="371">
        <f>'MTRT 2017'!H83</f>
        <v>71952.429999999993</v>
      </c>
      <c r="I29" s="371">
        <f>'MTRT 2017'!I83</f>
        <v>161300.03</v>
      </c>
      <c r="J29" s="371">
        <f>'MTRT 2017'!J83</f>
        <v>195295.12</v>
      </c>
      <c r="K29" s="371">
        <f>'MTRT 2017'!K83</f>
        <v>0</v>
      </c>
      <c r="L29" s="371">
        <f>'MTRT 2017'!L83</f>
        <v>0</v>
      </c>
      <c r="M29" s="371">
        <f>'MTRT 2017'!M83</f>
        <v>0</v>
      </c>
      <c r="N29" s="542">
        <f t="shared" si="0"/>
        <v>1518425.27</v>
      </c>
      <c r="O29" s="444">
        <f>SUM('TRT 2016'!B29:J29)</f>
        <v>1392672.27</v>
      </c>
      <c r="P29" s="642">
        <f t="shared" si="1"/>
        <v>9.0296190072054694E-2</v>
      </c>
      <c r="Q29" s="629">
        <f t="shared" si="2"/>
        <v>3.3126054633948958E-2</v>
      </c>
    </row>
    <row r="30" spans="1:17">
      <c r="A30" s="484" t="s">
        <v>39</v>
      </c>
      <c r="B30" s="371">
        <f>'MTRT 2017'!B86</f>
        <v>412312.3</v>
      </c>
      <c r="C30" s="371">
        <f>'MTRT 2017'!C86</f>
        <v>339731.05</v>
      </c>
      <c r="D30" s="371">
        <f>'MTRT 2017'!D86</f>
        <v>310739.40000000002</v>
      </c>
      <c r="E30" s="371">
        <f>'MTRT 2017'!E86</f>
        <v>512700.85</v>
      </c>
      <c r="F30" s="371">
        <v>737859.91</v>
      </c>
      <c r="G30" s="371">
        <f>'MTRT 2017'!G86</f>
        <v>723038.82</v>
      </c>
      <c r="H30" s="371">
        <f>'MTRT 2017'!H86</f>
        <v>697423.33</v>
      </c>
      <c r="I30" s="371">
        <f>'MTRT 2017'!I86</f>
        <v>952402.54</v>
      </c>
      <c r="J30" s="371">
        <f>'MTRT 2017'!J86</f>
        <v>653322.77</v>
      </c>
      <c r="K30" s="371">
        <f>'MTRT 2017'!K86</f>
        <v>0</v>
      </c>
      <c r="L30" s="371">
        <f>'MTRT 2017'!L86</f>
        <v>0</v>
      </c>
      <c r="M30" s="371">
        <f>'MTRT 2017'!M86</f>
        <v>0</v>
      </c>
      <c r="N30" s="542">
        <f t="shared" si="0"/>
        <v>5339530.9700000007</v>
      </c>
      <c r="O30" s="444">
        <f>SUM('TRT 2016'!B30:J30)</f>
        <v>4616345.0999999996</v>
      </c>
      <c r="P30" s="642">
        <f t="shared" si="1"/>
        <v>0.15665767058879565</v>
      </c>
      <c r="Q30" s="629">
        <f t="shared" si="2"/>
        <v>0.11648752041111808</v>
      </c>
    </row>
    <row r="31" spans="1:17">
      <c r="A31" s="484" t="s">
        <v>40</v>
      </c>
      <c r="B31" s="371">
        <f>'MTRT 2017'!B96</f>
        <v>14729.39</v>
      </c>
      <c r="C31" s="371">
        <f>'MTRT 2017'!C96</f>
        <v>21201.48</v>
      </c>
      <c r="D31" s="371">
        <f>'MTRT 2017'!D96</f>
        <v>4376.0200000000004</v>
      </c>
      <c r="E31" s="371">
        <f>'MTRT 2017'!E96</f>
        <v>19239.580000000002</v>
      </c>
      <c r="F31" s="371">
        <v>20849.669999999998</v>
      </c>
      <c r="G31" s="371">
        <f>'MTRT 2017'!G96</f>
        <v>47417.63</v>
      </c>
      <c r="H31" s="371">
        <f>'MTRT 2017'!H96</f>
        <v>52647.35</v>
      </c>
      <c r="I31" s="371">
        <f>'MTRT 2017'!I96</f>
        <v>87461.33</v>
      </c>
      <c r="J31" s="371">
        <f>'MTRT 2017'!J96</f>
        <v>44144.959999999999</v>
      </c>
      <c r="K31" s="371">
        <f>'MTRT 2017'!K96</f>
        <v>0</v>
      </c>
      <c r="L31" s="371">
        <f>'MTRT 2017'!L96</f>
        <v>0</v>
      </c>
      <c r="M31" s="371">
        <f>'MTRT 2017'!M96</f>
        <v>0</v>
      </c>
      <c r="N31" s="542">
        <f t="shared" si="0"/>
        <v>312067.41000000003</v>
      </c>
      <c r="O31" s="444">
        <f>SUM('TRT 2016'!B31:J31)</f>
        <v>244798.61</v>
      </c>
      <c r="P31" s="642">
        <f t="shared" si="1"/>
        <v>0.27479240997324306</v>
      </c>
      <c r="Q31" s="629">
        <f t="shared" si="2"/>
        <v>6.8080808962926107E-3</v>
      </c>
    </row>
    <row r="32" spans="1:17" ht="13" thickBot="1">
      <c r="A32" s="483" t="s">
        <v>41</v>
      </c>
      <c r="B32" s="371">
        <f>'MTRT 2017'!B99</f>
        <v>110232.14</v>
      </c>
      <c r="C32" s="371">
        <f>'MTRT 2017'!C99</f>
        <v>114477.68</v>
      </c>
      <c r="D32" s="371">
        <f>'MTRT 2017'!D99</f>
        <v>107467.95</v>
      </c>
      <c r="E32" s="371">
        <f>'MTRT 2017'!E99</f>
        <v>140455.63</v>
      </c>
      <c r="F32" s="371">
        <v>162814.03</v>
      </c>
      <c r="G32" s="371">
        <f>'MTRT 2017'!G99</f>
        <v>111161.75</v>
      </c>
      <c r="H32" s="371">
        <f>'MTRT 2017'!H99</f>
        <v>129568.45</v>
      </c>
      <c r="I32" s="371">
        <f>'MTRT 2017'!I99</f>
        <v>179040.42</v>
      </c>
      <c r="J32" s="371">
        <f>'MTRT 2017'!J99</f>
        <v>169750.34</v>
      </c>
      <c r="K32" s="371">
        <f>'MTRT 2017'!K99</f>
        <v>0</v>
      </c>
      <c r="L32" s="371">
        <f>'MTRT 2017'!L99</f>
        <v>0</v>
      </c>
      <c r="M32" s="371">
        <f>'MTRT 2017'!M99</f>
        <v>0</v>
      </c>
      <c r="N32" s="542">
        <f t="shared" si="0"/>
        <v>1224968.3900000001</v>
      </c>
      <c r="O32" s="444">
        <f>SUM('TRT 2016'!B32:J32)</f>
        <v>1095147.6499999999</v>
      </c>
      <c r="P32" s="642">
        <f t="shared" si="1"/>
        <v>0.11854176923084325</v>
      </c>
      <c r="Q32" s="629">
        <f t="shared" si="2"/>
        <v>2.6723982150271046E-2</v>
      </c>
    </row>
    <row r="33" spans="1:17" ht="13" thickBot="1">
      <c r="A33" s="250" t="s">
        <v>54</v>
      </c>
      <c r="B33" s="141">
        <f>SUM(B4:B32)</f>
        <v>3215887.8000000003</v>
      </c>
      <c r="C33" s="141">
        <f t="shared" ref="C33:O33" si="3">SUM(C4:C32)</f>
        <v>4598048.0599999987</v>
      </c>
      <c r="D33" s="141">
        <f t="shared" si="3"/>
        <v>4711983.1000000006</v>
      </c>
      <c r="E33" s="141">
        <f t="shared" si="3"/>
        <v>5531939.9400000004</v>
      </c>
      <c r="F33" s="141">
        <f t="shared" si="3"/>
        <v>6556569.7400000012</v>
      </c>
      <c r="G33" s="141">
        <f t="shared" si="3"/>
        <v>3912487.1799999992</v>
      </c>
      <c r="H33" s="141">
        <f t="shared" si="3"/>
        <v>4686970.87</v>
      </c>
      <c r="I33" s="141">
        <f t="shared" si="3"/>
        <v>6930781.0100000016</v>
      </c>
      <c r="J33" s="141">
        <f t="shared" si="3"/>
        <v>5693126.3499999987</v>
      </c>
      <c r="K33" s="141">
        <f t="shared" si="3"/>
        <v>0</v>
      </c>
      <c r="L33" s="141">
        <f t="shared" si="3"/>
        <v>0</v>
      </c>
      <c r="M33" s="141">
        <f t="shared" si="3"/>
        <v>0</v>
      </c>
      <c r="N33" s="548">
        <f t="shared" si="3"/>
        <v>45837794.04999999</v>
      </c>
      <c r="O33" s="549">
        <f t="shared" si="3"/>
        <v>40272392.920000002</v>
      </c>
      <c r="P33" s="481">
        <f>N33/O33-1</f>
        <v>0.13819395189790451</v>
      </c>
      <c r="Q33" s="630">
        <f t="shared" si="2"/>
        <v>1</v>
      </c>
    </row>
    <row r="34" spans="1:17" ht="13" thickBot="1">
      <c r="A34" s="537" t="s">
        <v>265</v>
      </c>
      <c r="B34" s="538">
        <f>(B33/'TRT 2016'!B33)-1</f>
        <v>0.21614746211687619</v>
      </c>
      <c r="C34" s="538">
        <f>(C33/'TRT 2016'!C33)-1</f>
        <v>8.9846788626500196E-2</v>
      </c>
      <c r="D34" s="538">
        <f>(D33/'TRT 2016'!D33)-1</f>
        <v>0.13756761725444222</v>
      </c>
      <c r="E34" s="538">
        <f>(E33/'TRT 2016'!E33)-1</f>
        <v>0.37110581335497073</v>
      </c>
      <c r="F34" s="538">
        <f>(F33/'TRT 2016'!F33)-1</f>
        <v>1.4484937751183979E-2</v>
      </c>
      <c r="G34" s="538">
        <f>(G33/'TRT 2016'!G33)-1</f>
        <v>0.15744381938624774</v>
      </c>
      <c r="H34" s="538">
        <f>(H33/'TRT 2016'!H33)-1</f>
        <v>9.4399767708411408E-2</v>
      </c>
      <c r="I34" s="538">
        <f>(I33/'TRT 2016'!I33)-1</f>
        <v>0.19813751409122382</v>
      </c>
      <c r="J34" s="538">
        <f>(J33/'TRT 2016'!J33)-1</f>
        <v>6.979087488184943E-2</v>
      </c>
      <c r="K34" s="538">
        <f>(K33/'TRT 2016'!K33)-1</f>
        <v>-1</v>
      </c>
      <c r="L34" s="538">
        <f>(L33/'TRT 2016'!L33)-1</f>
        <v>-1</v>
      </c>
      <c r="M34" s="538">
        <f>(M33/'TRT 2016'!M33)-1</f>
        <v>-1</v>
      </c>
      <c r="N34" s="569"/>
      <c r="O34" s="570"/>
      <c r="P34" s="571"/>
      <c r="Q34" s="571"/>
    </row>
    <row r="35" spans="1:17" s="236" customFormat="1"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7"/>
    </row>
    <row r="36" spans="1:17" ht="21">
      <c r="A36" s="691" t="s">
        <v>354</v>
      </c>
      <c r="B36" s="691"/>
      <c r="C36" s="691"/>
      <c r="D36" s="691"/>
      <c r="E36" s="691"/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</row>
    <row r="37" spans="1:17" ht="13" thickBot="1"/>
    <row r="38" spans="1:17" ht="13" thickBot="1">
      <c r="A38" s="129" t="s">
        <v>42</v>
      </c>
      <c r="B38" s="130" t="s">
        <v>2</v>
      </c>
      <c r="C38" s="131" t="s">
        <v>3</v>
      </c>
      <c r="D38" s="131" t="s">
        <v>4</v>
      </c>
      <c r="E38" s="131" t="s">
        <v>5</v>
      </c>
      <c r="F38" s="131" t="s">
        <v>6</v>
      </c>
      <c r="G38" s="131" t="s">
        <v>7</v>
      </c>
      <c r="H38" s="131" t="s">
        <v>8</v>
      </c>
      <c r="I38" s="131" t="s">
        <v>9</v>
      </c>
      <c r="J38" s="131" t="s">
        <v>10</v>
      </c>
      <c r="K38" s="131" t="s">
        <v>11</v>
      </c>
      <c r="L38" s="131" t="s">
        <v>12</v>
      </c>
      <c r="M38" s="398" t="s">
        <v>13</v>
      </c>
      <c r="N38" s="540" t="s">
        <v>349</v>
      </c>
      <c r="O38" s="472" t="s">
        <v>349</v>
      </c>
      <c r="P38" s="480" t="s">
        <v>16</v>
      </c>
    </row>
    <row r="39" spans="1:17" ht="13" thickBot="1">
      <c r="A39" s="40" t="s">
        <v>31</v>
      </c>
      <c r="B39" s="523">
        <v>153805.15</v>
      </c>
      <c r="C39" s="524">
        <v>181934.13</v>
      </c>
      <c r="D39" s="524">
        <v>216708.45</v>
      </c>
      <c r="E39" s="524">
        <v>249736.13</v>
      </c>
      <c r="F39" s="524">
        <v>290601.96999999997</v>
      </c>
      <c r="G39" s="524">
        <v>172225.09</v>
      </c>
      <c r="H39" s="524">
        <v>184174.59</v>
      </c>
      <c r="I39" s="524">
        <v>282046.88</v>
      </c>
      <c r="J39" s="524">
        <v>255693.93</v>
      </c>
      <c r="K39" s="524"/>
      <c r="L39" s="524"/>
      <c r="M39" s="543"/>
      <c r="N39" s="545">
        <f>SUM(B39:M39)</f>
        <v>1986926.32</v>
      </c>
      <c r="O39" s="544">
        <f>SUM('TRT 2016'!B39:J39)</f>
        <v>1702930.5900000003</v>
      </c>
      <c r="P39" s="481">
        <f>N39/O39-1</f>
        <v>0.16676882291485517</v>
      </c>
    </row>
    <row r="40" spans="1:17" ht="13" thickBot="1">
      <c r="A40" s="537" t="s">
        <v>265</v>
      </c>
      <c r="B40" s="538">
        <f>B39/'TRT 2016'!B39-1</f>
        <v>0.21082353396852449</v>
      </c>
      <c r="C40" s="538">
        <f>C39/'TRT 2016'!C39-1</f>
        <v>8.6446332811809468E-2</v>
      </c>
      <c r="D40" s="538">
        <f>D39/'TRT 2016'!D39-1</f>
        <v>0.1361598581171497</v>
      </c>
      <c r="E40" s="538">
        <f>E39/'TRT 2016'!E39-1</f>
        <v>0.28250808320255061</v>
      </c>
      <c r="F40" s="538">
        <f>F39/'TRT 2016'!F39-1</f>
        <v>0.15948796464838511</v>
      </c>
      <c r="G40" s="538">
        <f>G39/'TRT 2016'!G39-1</f>
        <v>0.12838036471776415</v>
      </c>
      <c r="H40" s="538">
        <f>H39/'TRT 2016'!H39-1</f>
        <v>5.2472296787390738E-2</v>
      </c>
      <c r="I40" s="538">
        <f>I39/'TRT 2016'!I39-1</f>
        <v>0.32247260521967269</v>
      </c>
      <c r="J40" s="538">
        <f>J39/'TRT 2016'!J39-1</f>
        <v>0.10469900514675801</v>
      </c>
      <c r="K40" s="538">
        <f>K39/'TRT 2016'!K39-1</f>
        <v>-1</v>
      </c>
      <c r="L40" s="538">
        <f>L39/'TRT 2016'!L39-1</f>
        <v>-1</v>
      </c>
      <c r="M40" s="538">
        <f>M39/'TRT 2016'!M39-1</f>
        <v>-1</v>
      </c>
      <c r="N40" s="572"/>
      <c r="O40" s="572"/>
      <c r="P40" s="573"/>
    </row>
    <row r="41" spans="1:17">
      <c r="N41" s="100"/>
    </row>
    <row r="42" spans="1:17">
      <c r="A42" s="188"/>
      <c r="M42" s="186"/>
      <c r="N42" s="100"/>
    </row>
    <row r="43" spans="1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7">
      <c r="H44" s="100"/>
    </row>
    <row r="45" spans="1:17">
      <c r="E45" s="222" t="s">
        <v>334</v>
      </c>
      <c r="G45" s="116"/>
      <c r="H45" s="100"/>
      <c r="I45" s="100"/>
    </row>
    <row r="46" spans="1:17">
      <c r="A46" s="208"/>
      <c r="B46" s="208"/>
      <c r="C46" s="208"/>
      <c r="D46" s="208"/>
      <c r="E46" s="208"/>
      <c r="F46" s="208"/>
      <c r="G46" s="209"/>
      <c r="H46" s="217"/>
      <c r="I46" s="208"/>
      <c r="J46" s="208"/>
      <c r="K46" s="208"/>
      <c r="L46" s="208"/>
      <c r="M46" s="208"/>
      <c r="N46" s="208"/>
    </row>
    <row r="47" spans="1:17">
      <c r="A47" s="210"/>
      <c r="B47" s="190"/>
      <c r="C47" s="190"/>
      <c r="D47" s="190"/>
      <c r="E47" s="190"/>
      <c r="F47" s="190"/>
      <c r="G47" s="190"/>
      <c r="H47" s="215"/>
      <c r="I47" s="190"/>
      <c r="J47" s="190"/>
      <c r="K47" s="190"/>
      <c r="L47" s="190"/>
      <c r="M47" s="190"/>
    </row>
    <row r="48" spans="1:17">
      <c r="A48" s="212"/>
      <c r="B48" s="213"/>
      <c r="C48" s="213"/>
      <c r="D48" s="213"/>
      <c r="E48" s="213"/>
      <c r="F48" s="213"/>
      <c r="G48" s="213"/>
      <c r="H48" s="213"/>
      <c r="I48" s="214"/>
      <c r="J48" s="212"/>
      <c r="K48" s="212"/>
      <c r="L48" s="212"/>
      <c r="M48" s="212"/>
      <c r="N48" s="212"/>
    </row>
    <row r="49" spans="7:7">
      <c r="G49" s="186"/>
    </row>
    <row r="50" spans="7:7">
      <c r="G50" s="193"/>
    </row>
    <row r="51" spans="7:7">
      <c r="G51" s="194"/>
    </row>
  </sheetData>
  <mergeCells count="2">
    <mergeCell ref="A1:Q1"/>
    <mergeCell ref="A36:P36"/>
  </mergeCells>
  <conditionalFormatting sqref="P4:P33 P39">
    <cfRule type="cellIs" dxfId="5" priority="1" operator="lessThan">
      <formula>0</formula>
    </cfRule>
  </conditionalFormatting>
  <printOptions horizontalCentered="1"/>
  <pageMargins left="0.25" right="0.25" top="0.25" bottom="0.25" header="0" footer="0"/>
  <pageSetup scale="86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 enableFormatConditionsCalculation="0">
    <tabColor rgb="FF0070C0"/>
    <pageSetUpPr fitToPage="1"/>
  </sheetPr>
  <dimension ref="A1:Q51"/>
  <sheetViews>
    <sheetView workbookViewId="0">
      <pane xSplit="1" topLeftCell="B1" activePane="topRight" state="frozen"/>
      <selection pane="topRight" activeCell="O33" sqref="O33"/>
    </sheetView>
  </sheetViews>
  <sheetFormatPr baseColWidth="10" defaultColWidth="8.83203125" defaultRowHeight="12" x14ac:dyDescent="0"/>
  <cols>
    <col min="1" max="1" width="11.33203125" bestFit="1" customWidth="1"/>
    <col min="2" max="12" width="9.6640625" customWidth="1"/>
    <col min="13" max="13" width="10.5" bestFit="1" customWidth="1"/>
    <col min="14" max="14" width="11.1640625" bestFit="1" customWidth="1"/>
    <col min="15" max="15" width="9.5" bestFit="1" customWidth="1"/>
    <col min="16" max="16" width="10.1640625" bestFit="1" customWidth="1"/>
  </cols>
  <sheetData>
    <row r="1" spans="1:17" ht="17">
      <c r="A1" s="712" t="s">
        <v>353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</row>
    <row r="2" spans="1:17" ht="13" thickBot="1"/>
    <row r="3" spans="1:17" ht="13" thickBot="1">
      <c r="A3" s="129" t="s">
        <v>42</v>
      </c>
      <c r="B3" s="130" t="s">
        <v>2</v>
      </c>
      <c r="C3" s="131" t="s">
        <v>3</v>
      </c>
      <c r="D3" s="131" t="s">
        <v>4</v>
      </c>
      <c r="E3" s="131" t="s">
        <v>5</v>
      </c>
      <c r="F3" s="131" t="s">
        <v>6</v>
      </c>
      <c r="G3" s="131" t="s">
        <v>7</v>
      </c>
      <c r="H3" s="131" t="s">
        <v>8</v>
      </c>
      <c r="I3" s="131" t="s">
        <v>9</v>
      </c>
      <c r="J3" s="131" t="s">
        <v>10</v>
      </c>
      <c r="K3" s="131" t="s">
        <v>11</v>
      </c>
      <c r="L3" s="131" t="s">
        <v>12</v>
      </c>
      <c r="M3" s="398" t="s">
        <v>13</v>
      </c>
      <c r="N3" s="540" t="s">
        <v>349</v>
      </c>
      <c r="O3" s="472" t="s">
        <v>336</v>
      </c>
      <c r="P3" s="480" t="s">
        <v>16</v>
      </c>
      <c r="Q3" s="628" t="s">
        <v>58</v>
      </c>
    </row>
    <row r="4" spans="1:17">
      <c r="A4" s="482" t="s">
        <v>17</v>
      </c>
      <c r="B4" s="371">
        <f>'MTRT 2016'!B4</f>
        <v>15436</v>
      </c>
      <c r="C4" s="371">
        <f>'MTRT 2016'!C4</f>
        <v>28101.07</v>
      </c>
      <c r="D4" s="371">
        <f>'MTRT 2016'!D4</f>
        <v>11065.41</v>
      </c>
      <c r="E4" s="371">
        <f>'MTRT 2016'!E4</f>
        <v>15973.86</v>
      </c>
      <c r="F4" s="371">
        <f>'MTRT 2016'!F4</f>
        <v>27577.67</v>
      </c>
      <c r="G4" s="371">
        <f>'MTRT 2016'!G4</f>
        <v>14390.87</v>
      </c>
      <c r="H4" s="371">
        <f>'MTRT 2016'!H4</f>
        <v>21507.9</v>
      </c>
      <c r="I4" s="371">
        <f>'MTRT 2016'!I4</f>
        <v>38519.919999999998</v>
      </c>
      <c r="J4" s="371">
        <f>'MTRT 2016'!J4</f>
        <v>29447.74</v>
      </c>
      <c r="K4" s="371">
        <f>'MTRT 2016'!K4</f>
        <v>21770.45</v>
      </c>
      <c r="L4" s="371">
        <f>'MTRT 2016'!L4</f>
        <v>41333.699999999997</v>
      </c>
      <c r="M4" s="371">
        <f>'MTRT 2016'!M4</f>
        <v>14910.49</v>
      </c>
      <c r="N4" s="541">
        <f t="shared" ref="N4:N32" si="0">SUM(B4:M4)</f>
        <v>280035.08</v>
      </c>
      <c r="O4" s="444">
        <f>SUM('TRT 2015'!B4:M4)</f>
        <v>239917.36</v>
      </c>
      <c r="P4" s="642">
        <f>N4/O4-1</f>
        <v>0.16721474427694627</v>
      </c>
      <c r="Q4" s="629">
        <f>N4/$N$33</f>
        <v>5.0223934945327177E-3</v>
      </c>
    </row>
    <row r="5" spans="1:17">
      <c r="A5" s="483" t="s">
        <v>18</v>
      </c>
      <c r="B5" s="371">
        <f>'MTRT 2016'!B6</f>
        <v>16194</v>
      </c>
      <c r="C5" s="371">
        <f>'MTRT 2016'!C6</f>
        <v>18320.5</v>
      </c>
      <c r="D5" s="371">
        <f>'MTRT 2016'!D6</f>
        <v>17635.66</v>
      </c>
      <c r="E5" s="371">
        <f>'MTRT 2016'!E6</f>
        <v>9854.64</v>
      </c>
      <c r="F5" s="371">
        <f>'MTRT 2016'!F6</f>
        <v>22046.45</v>
      </c>
      <c r="G5" s="371">
        <f>'MTRT 2016'!G6</f>
        <v>21581.08</v>
      </c>
      <c r="H5" s="371">
        <f>'MTRT 2016'!H6</f>
        <v>25157.65</v>
      </c>
      <c r="I5" s="371">
        <f>'MTRT 2016'!I6</f>
        <v>43520.18</v>
      </c>
      <c r="J5" s="371">
        <f>'MTRT 2016'!J6</f>
        <v>30722.34</v>
      </c>
      <c r="K5" s="371">
        <f>'MTRT 2016'!K6</f>
        <v>36149.449999999997</v>
      </c>
      <c r="L5" s="371">
        <f>'MTRT 2016'!L6</f>
        <v>42969.09</v>
      </c>
      <c r="M5" s="371">
        <f>'MTRT 2016'!M6</f>
        <v>22452.560000000001</v>
      </c>
      <c r="N5" s="542">
        <f t="shared" si="0"/>
        <v>306603.60000000003</v>
      </c>
      <c r="O5" s="444">
        <f>SUM('TRT 2015'!B5:M5)</f>
        <v>281754.56</v>
      </c>
      <c r="P5" s="642">
        <f t="shared" ref="P5:P32" si="1">N5/O5-1</f>
        <v>8.819392310811236E-2</v>
      </c>
      <c r="Q5" s="629">
        <f t="shared" ref="Q5:Q33" si="2">N5/$N$33</f>
        <v>5.498896516966059E-3</v>
      </c>
    </row>
    <row r="6" spans="1:17">
      <c r="A6" s="484" t="s">
        <v>19</v>
      </c>
      <c r="B6" s="371">
        <f>'MTRT 2016'!B10</f>
        <v>30046.6</v>
      </c>
      <c r="C6" s="371">
        <f>'MTRT 2016'!C10</f>
        <v>44408</v>
      </c>
      <c r="D6" s="371">
        <f>'MTRT 2016'!D10</f>
        <v>25719.5</v>
      </c>
      <c r="E6" s="371">
        <f>'MTRT 2016'!E10</f>
        <v>29665.74</v>
      </c>
      <c r="F6" s="371">
        <f>'MTRT 2016'!F10</f>
        <v>44001.279999999999</v>
      </c>
      <c r="G6" s="371">
        <f>'MTRT 2016'!G10</f>
        <v>28376.77</v>
      </c>
      <c r="H6" s="371">
        <f>'MTRT 2016'!H10</f>
        <v>39220.69</v>
      </c>
      <c r="I6" s="371">
        <f>'MTRT 2016'!I10</f>
        <v>79046.81</v>
      </c>
      <c r="J6" s="371">
        <f>'MTRT 2016'!J10</f>
        <v>63073</v>
      </c>
      <c r="K6" s="371">
        <f>'MTRT 2016'!K10</f>
        <v>81720.759999999995</v>
      </c>
      <c r="L6" s="371">
        <f>'MTRT 2016'!L10</f>
        <v>46449.41</v>
      </c>
      <c r="M6" s="371">
        <f>'MTRT 2016'!M10</f>
        <v>56076.91</v>
      </c>
      <c r="N6" s="542">
        <f t="shared" si="0"/>
        <v>567805.47000000009</v>
      </c>
      <c r="O6" s="444">
        <f>SUM('TRT 2015'!B6:M6)</f>
        <v>526731.49</v>
      </c>
      <c r="P6" s="642">
        <f t="shared" si="1"/>
        <v>7.7978971790731766E-2</v>
      </c>
      <c r="Q6" s="629">
        <f t="shared" si="2"/>
        <v>1.0183518788746368E-2</v>
      </c>
    </row>
    <row r="7" spans="1:17">
      <c r="A7" s="484" t="s">
        <v>20</v>
      </c>
      <c r="B7" s="371">
        <f>'MTRT 2016'!B13</f>
        <v>8812</v>
      </c>
      <c r="C7" s="371">
        <f>'MTRT 2016'!C13</f>
        <v>28693.38</v>
      </c>
      <c r="D7" s="371">
        <f>'MTRT 2016'!D13</f>
        <v>6314.57</v>
      </c>
      <c r="E7" s="371">
        <f>'MTRT 2016'!E13</f>
        <v>7214.91</v>
      </c>
      <c r="F7" s="371">
        <f>'MTRT 2016'!F13</f>
        <v>37596.29</v>
      </c>
      <c r="G7" s="371">
        <f>'MTRT 2016'!G13</f>
        <v>11281.8</v>
      </c>
      <c r="H7" s="371">
        <f>'MTRT 2016'!H13</f>
        <v>12250.09</v>
      </c>
      <c r="I7" s="371">
        <f>'MTRT 2016'!I13</f>
        <v>40382.81</v>
      </c>
      <c r="J7" s="371">
        <f>'MTRT 2016'!J13</f>
        <v>21182.28</v>
      </c>
      <c r="K7" s="371">
        <f>'MTRT 2016'!K13</f>
        <v>30229.02</v>
      </c>
      <c r="L7" s="371">
        <f>'MTRT 2016'!L13</f>
        <v>30824.94</v>
      </c>
      <c r="M7" s="371">
        <f>'MTRT 2016'!M13</f>
        <v>20962.82</v>
      </c>
      <c r="N7" s="542">
        <f t="shared" si="0"/>
        <v>255744.90999999997</v>
      </c>
      <c r="O7" s="444">
        <f>SUM('TRT 2015'!B7:M7)</f>
        <v>237621.58</v>
      </c>
      <c r="P7" s="642">
        <f t="shared" si="1"/>
        <v>7.6269714223766938E-2</v>
      </c>
      <c r="Q7" s="629">
        <f t="shared" si="2"/>
        <v>4.5867523891787243E-3</v>
      </c>
    </row>
    <row r="8" spans="1:17">
      <c r="A8" s="484" t="s">
        <v>21</v>
      </c>
      <c r="B8" s="371">
        <f>'MTRT 2016'!B16</f>
        <v>1908.91</v>
      </c>
      <c r="C8" s="371">
        <f>'MTRT 2016'!C16</f>
        <v>4162.9399999999996</v>
      </c>
      <c r="D8" s="371">
        <f>'MTRT 2016'!D16</f>
        <v>872.44</v>
      </c>
      <c r="E8" s="371">
        <f>'MTRT 2016'!E16</f>
        <v>173.67</v>
      </c>
      <c r="F8" s="371">
        <f>'MTRT 2016'!F16</f>
        <v>2889.21</v>
      </c>
      <c r="G8" s="371">
        <f>'MTRT 2016'!G16</f>
        <v>7555.35</v>
      </c>
      <c r="H8" s="371">
        <f>'MTRT 2016'!H16</f>
        <v>10100.02</v>
      </c>
      <c r="I8" s="371">
        <f>'MTRT 2016'!I16</f>
        <v>17667.990000000002</v>
      </c>
      <c r="J8" s="371">
        <f>'MTRT 2016'!J16</f>
        <v>30814.15</v>
      </c>
      <c r="K8" s="371">
        <f>'MTRT 2016'!K16</f>
        <v>22107.89</v>
      </c>
      <c r="L8" s="371">
        <f>'MTRT 2016'!L16</f>
        <v>17276.8</v>
      </c>
      <c r="M8" s="371">
        <f>'MTRT 2016'!M16</f>
        <v>6241.11</v>
      </c>
      <c r="N8" s="542">
        <f t="shared" si="0"/>
        <v>121770.48</v>
      </c>
      <c r="O8" s="444">
        <f>SUM('TRT 2015'!B8:M8)</f>
        <v>92457.869999999981</v>
      </c>
      <c r="P8" s="642">
        <f t="shared" si="1"/>
        <v>0.31703747879980382</v>
      </c>
      <c r="Q8" s="629">
        <f t="shared" si="2"/>
        <v>2.1839380501118871E-3</v>
      </c>
    </row>
    <row r="9" spans="1:17">
      <c r="A9" s="484" t="s">
        <v>22</v>
      </c>
      <c r="B9" s="371">
        <f>'MTRT 2016'!B17</f>
        <v>93516</v>
      </c>
      <c r="C9" s="371">
        <f>'MTRT 2016'!C17</f>
        <v>77804.399999999994</v>
      </c>
      <c r="D9" s="371">
        <f>'MTRT 2016'!D17</f>
        <v>74040.149999999994</v>
      </c>
      <c r="E9" s="371">
        <f>'MTRT 2016'!E17</f>
        <v>96480.5</v>
      </c>
      <c r="F9" s="371">
        <f>'MTRT 2016'!F17</f>
        <v>128069.98</v>
      </c>
      <c r="G9" s="371">
        <f>'MTRT 2016'!G17</f>
        <v>113816.65</v>
      </c>
      <c r="H9" s="371">
        <f>'MTRT 2016'!H17</f>
        <v>138973.31</v>
      </c>
      <c r="I9" s="371">
        <f>'MTRT 2016'!I17</f>
        <v>161894.20000000001</v>
      </c>
      <c r="J9" s="371">
        <f>'MTRT 2016'!J17</f>
        <v>202150.51</v>
      </c>
      <c r="K9" s="371">
        <f>'MTRT 2016'!K17</f>
        <v>194382.22</v>
      </c>
      <c r="L9" s="371">
        <f>'MTRT 2016'!L17</f>
        <v>120905.79</v>
      </c>
      <c r="M9" s="371">
        <f>'MTRT 2016'!M17</f>
        <v>149527.78</v>
      </c>
      <c r="N9" s="542">
        <f t="shared" si="0"/>
        <v>1551561.49</v>
      </c>
      <c r="O9" s="444">
        <f>SUM('TRT 2015'!B9:M9)</f>
        <v>1456009.57</v>
      </c>
      <c r="P9" s="642">
        <f t="shared" si="1"/>
        <v>6.5625887335342137E-2</v>
      </c>
      <c r="Q9" s="629">
        <f t="shared" si="2"/>
        <v>2.7827057716281436E-2</v>
      </c>
    </row>
    <row r="10" spans="1:17">
      <c r="A10" s="484" t="s">
        <v>23</v>
      </c>
      <c r="B10" s="371">
        <f>'MTRT 2016'!B25</f>
        <v>2861</v>
      </c>
      <c r="C10" s="371">
        <f>'MTRT 2016'!C25</f>
        <v>2446.41</v>
      </c>
      <c r="D10" s="371">
        <f>'MTRT 2016'!D25</f>
        <v>1383.11</v>
      </c>
      <c r="E10" s="371">
        <f>'MTRT 2016'!E25</f>
        <v>1075.82</v>
      </c>
      <c r="F10" s="371">
        <f>'MTRT 2016'!F25</f>
        <v>11395.09</v>
      </c>
      <c r="G10" s="371">
        <f>'MTRT 2016'!G25</f>
        <v>1998.54</v>
      </c>
      <c r="H10" s="371">
        <f>'MTRT 2016'!H25</f>
        <v>2278.6799999999998</v>
      </c>
      <c r="I10" s="371">
        <f>'MTRT 2016'!I25</f>
        <v>14873.6</v>
      </c>
      <c r="J10" s="371">
        <f>'MTRT 2016'!J25</f>
        <v>7733.57</v>
      </c>
      <c r="K10" s="371">
        <f>'MTRT 2016'!K25</f>
        <v>9407.11</v>
      </c>
      <c r="L10" s="371">
        <f>'MTRT 2016'!L25</f>
        <v>16493.490000000002</v>
      </c>
      <c r="M10" s="371">
        <f>'MTRT 2016'!M25</f>
        <v>1431.73</v>
      </c>
      <c r="N10" s="542">
        <f t="shared" si="0"/>
        <v>73378.149999999994</v>
      </c>
      <c r="O10" s="444">
        <f>SUM('TRT 2015'!B10:M10)</f>
        <v>81687.570000000007</v>
      </c>
      <c r="P10" s="642">
        <f t="shared" si="1"/>
        <v>-0.10172196332930472</v>
      </c>
      <c r="Q10" s="629">
        <f t="shared" si="2"/>
        <v>1.3160277748089485E-3</v>
      </c>
    </row>
    <row r="11" spans="1:17">
      <c r="A11" s="484" t="s">
        <v>51</v>
      </c>
      <c r="B11" s="371">
        <f>'MTRT 2016'!B27</f>
        <v>12186</v>
      </c>
      <c r="C11" s="371">
        <f>'MTRT 2016'!C27</f>
        <v>12313.89</v>
      </c>
      <c r="D11" s="371">
        <f>'MTRT 2016'!D27</f>
        <v>11803.27</v>
      </c>
      <c r="E11" s="371">
        <f>'MTRT 2016'!E27</f>
        <v>7574.36</v>
      </c>
      <c r="F11" s="371">
        <f>'MTRT 2016'!F27</f>
        <v>49270.82</v>
      </c>
      <c r="G11" s="371">
        <f>'MTRT 2016'!G27</f>
        <v>31672.12</v>
      </c>
      <c r="H11" s="371">
        <f>'MTRT 2016'!H27</f>
        <v>53200.42</v>
      </c>
      <c r="I11" s="371">
        <f>'MTRT 2016'!I27</f>
        <v>65208.31</v>
      </c>
      <c r="J11" s="371">
        <f>'MTRT 2016'!J27</f>
        <v>46150.6</v>
      </c>
      <c r="K11" s="371">
        <f>'MTRT 2016'!K27</f>
        <v>44662.02</v>
      </c>
      <c r="L11" s="371">
        <f>'MTRT 2016'!L27</f>
        <v>67291.22</v>
      </c>
      <c r="M11" s="371">
        <f>'MTRT 2016'!M27</f>
        <v>23804.86</v>
      </c>
      <c r="N11" s="542">
        <f t="shared" si="0"/>
        <v>425137.89</v>
      </c>
      <c r="O11" s="444">
        <f>SUM('TRT 2015'!B11:M11)</f>
        <v>394022.97</v>
      </c>
      <c r="P11" s="642">
        <f t="shared" si="1"/>
        <v>7.8967274420575162E-2</v>
      </c>
      <c r="Q11" s="629">
        <f t="shared" si="2"/>
        <v>7.624793911589098E-3</v>
      </c>
    </row>
    <row r="12" spans="1:17">
      <c r="A12" s="484" t="s">
        <v>24</v>
      </c>
      <c r="B12" s="371">
        <f>'MTRT 2016'!B29</f>
        <v>44698</v>
      </c>
      <c r="C12" s="371">
        <f>'MTRT 2016'!C29</f>
        <v>52940.55</v>
      </c>
      <c r="D12" s="371">
        <f>'MTRT 2016'!D29</f>
        <v>19553.88</v>
      </c>
      <c r="E12" s="371">
        <f>'MTRT 2016'!E29</f>
        <v>26904.51</v>
      </c>
      <c r="F12" s="371">
        <f>'MTRT 2016'!F29</f>
        <v>88829.96</v>
      </c>
      <c r="G12" s="371">
        <f>'MTRT 2016'!G29</f>
        <v>116326.62</v>
      </c>
      <c r="H12" s="371">
        <f>'MTRT 2016'!H29</f>
        <v>204004.72</v>
      </c>
      <c r="I12" s="371">
        <f>'MTRT 2016'!I29</f>
        <v>306471.53999999998</v>
      </c>
      <c r="J12" s="371">
        <f>'MTRT 2016'!J29</f>
        <v>270994.40000000002</v>
      </c>
      <c r="K12" s="371">
        <f>'MTRT 2016'!K29</f>
        <v>236508.18</v>
      </c>
      <c r="L12" s="371">
        <f>'MTRT 2016'!L29</f>
        <v>252193.36</v>
      </c>
      <c r="M12" s="371">
        <f>'MTRT 2016'!M29</f>
        <v>181877.58</v>
      </c>
      <c r="N12" s="542">
        <f t="shared" si="0"/>
        <v>1801303.3000000003</v>
      </c>
      <c r="O12" s="444">
        <f>SUM('TRT 2015'!B12:M12)</f>
        <v>1637550.0999999999</v>
      </c>
      <c r="P12" s="642">
        <f t="shared" si="1"/>
        <v>9.9998894690306317E-2</v>
      </c>
      <c r="Q12" s="629">
        <f t="shared" si="2"/>
        <v>3.2306145271514972E-2</v>
      </c>
    </row>
    <row r="13" spans="1:17">
      <c r="A13" s="484" t="s">
        <v>25</v>
      </c>
      <c r="B13" s="371">
        <f>'MTRT 2016'!B31</f>
        <v>151031</v>
      </c>
      <c r="C13" s="371">
        <f>'MTRT 2016'!C31</f>
        <v>114205</v>
      </c>
      <c r="D13" s="371">
        <f>'MTRT 2016'!D31</f>
        <v>19261.759999999998</v>
      </c>
      <c r="E13" s="371">
        <f>'MTRT 2016'!E31</f>
        <v>117258.7</v>
      </c>
      <c r="F13" s="371">
        <f>'MTRT 2016'!F31</f>
        <v>435110.34</v>
      </c>
      <c r="G13" s="371">
        <f>'MTRT 2016'!G31</f>
        <v>401270.34</v>
      </c>
      <c r="H13" s="371">
        <f>'MTRT 2016'!H31</f>
        <v>553958.15</v>
      </c>
      <c r="I13" s="371">
        <f>'MTRT 2016'!I31</f>
        <v>606587.38</v>
      </c>
      <c r="J13" s="371">
        <f>'MTRT 2016'!J31</f>
        <v>432182.59</v>
      </c>
      <c r="K13" s="371">
        <f>'MTRT 2016'!K31</f>
        <v>482432.45</v>
      </c>
      <c r="L13" s="371">
        <f>'MTRT 2016'!L31</f>
        <v>569330.93000000005</v>
      </c>
      <c r="M13" s="371">
        <f>'MTRT 2016'!M31</f>
        <v>434222.12</v>
      </c>
      <c r="N13" s="542">
        <f t="shared" si="0"/>
        <v>4316850.76</v>
      </c>
      <c r="O13" s="444">
        <f>SUM('TRT 2015'!B13:M13)</f>
        <v>3898673.1999999997</v>
      </c>
      <c r="P13" s="642">
        <f t="shared" si="1"/>
        <v>0.10726150629911735</v>
      </c>
      <c r="Q13" s="629">
        <f t="shared" si="2"/>
        <v>7.7422168586495005E-2</v>
      </c>
    </row>
    <row r="14" spans="1:17">
      <c r="A14" s="484" t="s">
        <v>26</v>
      </c>
      <c r="B14" s="371">
        <f>'MTRT 2016'!B33</f>
        <v>36009</v>
      </c>
      <c r="C14" s="371">
        <f>'MTRT 2016'!C33</f>
        <v>122792.45</v>
      </c>
      <c r="D14" s="371">
        <f>'MTRT 2016'!D33</f>
        <v>63004.19</v>
      </c>
      <c r="E14" s="371">
        <f>'MTRT 2016'!E33</f>
        <v>80540.490000000005</v>
      </c>
      <c r="F14" s="371">
        <f>'MTRT 2016'!F33</f>
        <v>140181.14000000001</v>
      </c>
      <c r="G14" s="371">
        <f>'MTRT 2016'!G33</f>
        <v>85046.51</v>
      </c>
      <c r="H14" s="371">
        <f>'MTRT 2016'!H33</f>
        <v>103237.51</v>
      </c>
      <c r="I14" s="371">
        <f>'MTRT 2016'!I33</f>
        <v>172934.5</v>
      </c>
      <c r="J14" s="371">
        <f>'MTRT 2016'!J33</f>
        <v>152225.35</v>
      </c>
      <c r="K14" s="371">
        <f>'MTRT 2016'!K33</f>
        <v>133568.82</v>
      </c>
      <c r="L14" s="371">
        <f>'MTRT 2016'!L33</f>
        <v>210229.87</v>
      </c>
      <c r="M14" s="371">
        <f>'MTRT 2016'!M33</f>
        <v>96170.23</v>
      </c>
      <c r="N14" s="542">
        <f t="shared" si="0"/>
        <v>1395940.06</v>
      </c>
      <c r="O14" s="444">
        <f>SUM('TRT 2015'!B14:M14)</f>
        <v>1127480.9099999999</v>
      </c>
      <c r="P14" s="642">
        <f t="shared" si="1"/>
        <v>0.23810527310834928</v>
      </c>
      <c r="Q14" s="629">
        <f t="shared" si="2"/>
        <v>2.5036007189176483E-2</v>
      </c>
    </row>
    <row r="15" spans="1:17">
      <c r="A15" s="484" t="s">
        <v>27</v>
      </c>
      <c r="B15" s="371">
        <f>'MTRT 2016'!B36</f>
        <v>1877</v>
      </c>
      <c r="C15" s="371">
        <f>'MTRT 2016'!C36</f>
        <v>8651.01</v>
      </c>
      <c r="D15" s="371">
        <f>'MTRT 2016'!D36</f>
        <v>3448.46</v>
      </c>
      <c r="E15" s="371">
        <f>'MTRT 2016'!E36</f>
        <v>1851.91</v>
      </c>
      <c r="F15" s="371">
        <f>'MTRT 2016'!F36</f>
        <v>11067.26</v>
      </c>
      <c r="G15" s="371">
        <f>'MTRT 2016'!G36</f>
        <v>4014.55</v>
      </c>
      <c r="H15" s="371">
        <f>'MTRT 2016'!H36</f>
        <v>2538.89</v>
      </c>
      <c r="I15" s="371">
        <f>'MTRT 2016'!I36</f>
        <v>20730.2</v>
      </c>
      <c r="J15" s="371">
        <f>'MTRT 2016'!J36</f>
        <v>5876.52</v>
      </c>
      <c r="K15" s="371">
        <f>'MTRT 2016'!K36</f>
        <v>2860.93</v>
      </c>
      <c r="L15" s="371">
        <f>'MTRT 2016'!L36</f>
        <v>20470.29</v>
      </c>
      <c r="M15" s="371">
        <f>'MTRT 2016'!M36</f>
        <v>3210.35</v>
      </c>
      <c r="N15" s="542">
        <f t="shared" si="0"/>
        <v>86597.37000000001</v>
      </c>
      <c r="O15" s="444">
        <f>SUM('TRT 2015'!B15:M15)</f>
        <v>86784.43</v>
      </c>
      <c r="P15" s="642">
        <f t="shared" si="1"/>
        <v>-2.155455765509795E-3</v>
      </c>
      <c r="Q15" s="629">
        <f t="shared" si="2"/>
        <v>1.5531128019091135E-3</v>
      </c>
    </row>
    <row r="16" spans="1:17">
      <c r="A16" s="484" t="s">
        <v>28</v>
      </c>
      <c r="B16" s="371">
        <f>'MTRT 2016'!B38</f>
        <v>75257</v>
      </c>
      <c r="C16" s="371">
        <f>'MTRT 2016'!C38</f>
        <v>107781.01</v>
      </c>
      <c r="D16" s="371">
        <f>'MTRT 2016'!D38</f>
        <v>36965.42</v>
      </c>
      <c r="E16" s="371">
        <f>'MTRT 2016'!E38</f>
        <v>51453.51</v>
      </c>
      <c r="F16" s="371">
        <f>'MTRT 2016'!F38</f>
        <v>235756.12</v>
      </c>
      <c r="G16" s="371">
        <f>'MTRT 2016'!G38</f>
        <v>80644.94</v>
      </c>
      <c r="H16" s="371">
        <f>'MTRT 2016'!H38</f>
        <v>306229.86</v>
      </c>
      <c r="I16" s="371">
        <f>'MTRT 2016'!I38</f>
        <v>356864.94</v>
      </c>
      <c r="J16" s="371">
        <f>'MTRT 2016'!J38</f>
        <v>261958.68</v>
      </c>
      <c r="K16" s="371">
        <f>'MTRT 2016'!K38</f>
        <v>172670.73</v>
      </c>
      <c r="L16" s="371">
        <f>'MTRT 2016'!L38</f>
        <v>451033.23</v>
      </c>
      <c r="M16" s="371">
        <f>'MTRT 2016'!M38</f>
        <v>172767.76</v>
      </c>
      <c r="N16" s="542">
        <f t="shared" si="0"/>
        <v>2309383.2000000002</v>
      </c>
      <c r="O16" s="444">
        <f>SUM('TRT 2015'!B16:M16)</f>
        <v>1896437.5000000002</v>
      </c>
      <c r="P16" s="642">
        <f t="shared" si="1"/>
        <v>0.21774811982994424</v>
      </c>
      <c r="Q16" s="629">
        <f t="shared" si="2"/>
        <v>4.1418493568959824E-2</v>
      </c>
    </row>
    <row r="17" spans="1:17">
      <c r="A17" s="484" t="s">
        <v>52</v>
      </c>
      <c r="B17" s="371">
        <f>'MTRT 2016'!B41</f>
        <v>7433.83</v>
      </c>
      <c r="C17" s="371">
        <f>'MTRT 2016'!C41</f>
        <v>11500</v>
      </c>
      <c r="D17" s="371">
        <f>'MTRT 2016'!D41</f>
        <v>6749.85</v>
      </c>
      <c r="E17" s="371">
        <f>'MTRT 2016'!E41</f>
        <v>12573.73</v>
      </c>
      <c r="F17" s="371">
        <f>'MTRT 2016'!F41</f>
        <v>23454.73</v>
      </c>
      <c r="G17" s="371">
        <f>'MTRT 2016'!G41</f>
        <v>11314.88</v>
      </c>
      <c r="H17" s="371">
        <f>'MTRT 2016'!H41</f>
        <v>9726.43</v>
      </c>
      <c r="I17" s="371">
        <f>'MTRT 2016'!I41</f>
        <v>16357.26</v>
      </c>
      <c r="J17" s="371">
        <f>'MTRT 2016'!J41</f>
        <v>16497.38</v>
      </c>
      <c r="K17" s="371">
        <f>'MTRT 2016'!K41</f>
        <v>10551.42</v>
      </c>
      <c r="L17" s="371">
        <f>'MTRT 2016'!L41</f>
        <v>24849.68</v>
      </c>
      <c r="M17" s="371">
        <f>'MTRT 2016'!M41</f>
        <v>8402.4599999999991</v>
      </c>
      <c r="N17" s="542">
        <f t="shared" si="0"/>
        <v>159411.65</v>
      </c>
      <c r="O17" s="444">
        <f>SUM('TRT 2015'!B17:M17)</f>
        <v>128673.20000000001</v>
      </c>
      <c r="P17" s="642">
        <f t="shared" si="1"/>
        <v>0.2388877404152534</v>
      </c>
      <c r="Q17" s="629">
        <f t="shared" si="2"/>
        <v>2.8590276400825439E-3</v>
      </c>
    </row>
    <row r="18" spans="1:17">
      <c r="A18" s="484" t="s">
        <v>29</v>
      </c>
      <c r="B18" s="371">
        <f>'MTRT 2016'!B44</f>
        <v>49.84</v>
      </c>
      <c r="C18" s="371">
        <f>'MTRT 2016'!C44</f>
        <v>615</v>
      </c>
      <c r="D18" s="371">
        <f>'MTRT 2016'!D44</f>
        <v>42.66</v>
      </c>
      <c r="E18" s="371">
        <f>'MTRT 2016'!E44</f>
        <v>85.77</v>
      </c>
      <c r="F18" s="371">
        <f>'MTRT 2016'!F44</f>
        <v>141.30000000000001</v>
      </c>
      <c r="G18" s="371">
        <f>'MTRT 2016'!G44</f>
        <v>693.7</v>
      </c>
      <c r="H18" s="371">
        <f>'MTRT 2016'!H44</f>
        <v>0</v>
      </c>
      <c r="I18" s="371">
        <f>'MTRT 2016'!I44</f>
        <v>1231.03</v>
      </c>
      <c r="J18" s="371">
        <f>'MTRT 2016'!J44</f>
        <v>1753.87</v>
      </c>
      <c r="K18" s="371">
        <f>'MTRT 2016'!K44</f>
        <v>0</v>
      </c>
      <c r="L18" s="371">
        <f>'MTRT 2016'!L44</f>
        <v>1017.33</v>
      </c>
      <c r="M18" s="371">
        <f>'MTRT 2016'!M44</f>
        <v>210.68</v>
      </c>
      <c r="N18" s="542">
        <f t="shared" si="0"/>
        <v>5841.18</v>
      </c>
      <c r="O18" s="444">
        <f>SUM('TRT 2015'!B18:M18)</f>
        <v>5325.88</v>
      </c>
      <c r="P18" s="642">
        <f t="shared" si="1"/>
        <v>9.6753963664220732E-2</v>
      </c>
      <c r="Q18" s="629">
        <f t="shared" si="2"/>
        <v>1.0476081936732576E-4</v>
      </c>
    </row>
    <row r="19" spans="1:17">
      <c r="A19" s="484" t="s">
        <v>53</v>
      </c>
      <c r="B19" s="371">
        <f>'MTRT 2016'!B45</f>
        <v>1336.72</v>
      </c>
      <c r="C19" s="371">
        <f>'MTRT 2016'!C45</f>
        <v>1840.62</v>
      </c>
      <c r="D19" s="371">
        <f>'MTRT 2016'!D45</f>
        <v>39.130000000000003</v>
      </c>
      <c r="E19" s="371">
        <f>'MTRT 2016'!E45</f>
        <v>528.88</v>
      </c>
      <c r="F19" s="371">
        <f>'MTRT 2016'!F45</f>
        <v>501.49</v>
      </c>
      <c r="G19" s="371">
        <f>'MTRT 2016'!G45</f>
        <v>508.41</v>
      </c>
      <c r="H19" s="371">
        <f>'MTRT 2016'!H45</f>
        <v>1510.15</v>
      </c>
      <c r="I19" s="371">
        <f>'MTRT 2016'!I45</f>
        <v>3776.17</v>
      </c>
      <c r="J19" s="371">
        <f>'MTRT 2016'!J45</f>
        <v>869.34</v>
      </c>
      <c r="K19" s="371">
        <f>'MTRT 2016'!K45</f>
        <v>19.170000000000002</v>
      </c>
      <c r="L19" s="371">
        <f>'MTRT 2016'!L45</f>
        <v>10863.85</v>
      </c>
      <c r="M19" s="371">
        <f>'MTRT 2016'!M45</f>
        <v>189.47</v>
      </c>
      <c r="N19" s="542">
        <f t="shared" si="0"/>
        <v>21983.4</v>
      </c>
      <c r="O19" s="444">
        <f>SUM('TRT 2015'!B19:M19)</f>
        <v>25034.68</v>
      </c>
      <c r="P19" s="642">
        <f t="shared" si="1"/>
        <v>-0.12188212511603902</v>
      </c>
      <c r="Q19" s="629">
        <f t="shared" si="2"/>
        <v>3.9426947919421576E-4</v>
      </c>
    </row>
    <row r="20" spans="1:17">
      <c r="A20" s="484" t="s">
        <v>30</v>
      </c>
      <c r="B20" s="371">
        <f>'MTRT 2016'!B46</f>
        <v>12541</v>
      </c>
      <c r="C20" s="371">
        <f>'MTRT 2016'!C46</f>
        <v>11710.55</v>
      </c>
      <c r="D20" s="371">
        <f>'MTRT 2016'!D46</f>
        <v>10221.66</v>
      </c>
      <c r="E20" s="371">
        <f>'MTRT 2016'!E46</f>
        <v>4090.56</v>
      </c>
      <c r="F20" s="371">
        <f>'MTRT 2016'!F46</f>
        <v>7031.22</v>
      </c>
      <c r="G20" s="371">
        <f>'MTRT 2016'!G46</f>
        <v>3164.37</v>
      </c>
      <c r="H20" s="371">
        <f>'MTRT 2016'!H46</f>
        <v>10089.32</v>
      </c>
      <c r="I20" s="371">
        <f>'MTRT 2016'!I46</f>
        <v>37727.269999999997</v>
      </c>
      <c r="J20" s="371">
        <f>'MTRT 2016'!J46</f>
        <v>51957.65</v>
      </c>
      <c r="K20" s="371">
        <f>'MTRT 2016'!K46</f>
        <v>57555.63</v>
      </c>
      <c r="L20" s="371">
        <f>'MTRT 2016'!L46</f>
        <v>75103.89</v>
      </c>
      <c r="M20" s="371">
        <f>'MTRT 2016'!M46</f>
        <v>4192.5</v>
      </c>
      <c r="N20" s="542">
        <f t="shared" si="0"/>
        <v>285385.62</v>
      </c>
      <c r="O20" s="444">
        <f>SUM('TRT 2015'!B20:M20)</f>
        <v>209879.26</v>
      </c>
      <c r="P20" s="642">
        <f t="shared" si="1"/>
        <v>0.3597609406474942</v>
      </c>
      <c r="Q20" s="629">
        <f t="shared" si="2"/>
        <v>5.1183547479879523E-3</v>
      </c>
    </row>
    <row r="21" spans="1:17">
      <c r="A21" s="484" t="s">
        <v>31</v>
      </c>
      <c r="B21" s="371">
        <f>'MTRT 2016'!B47</f>
        <v>917757</v>
      </c>
      <c r="C21" s="371">
        <f>'MTRT 2016'!C47</f>
        <v>1209886.73</v>
      </c>
      <c r="D21" s="371">
        <f>'MTRT 2016'!D47</f>
        <v>1378079.6</v>
      </c>
      <c r="E21" s="371">
        <f>'MTRT 2016'!E47</f>
        <v>1406886.5</v>
      </c>
      <c r="F21" s="371">
        <f>'MTRT 2016'!F47</f>
        <v>1810799</v>
      </c>
      <c r="G21" s="371">
        <f>'MTRT 2016'!G47</f>
        <v>1102753.6599999999</v>
      </c>
      <c r="H21" s="371">
        <f>'MTRT 2016'!H47</f>
        <v>1264320.1100000001</v>
      </c>
      <c r="I21" s="371">
        <f>'MTRT 2016'!I47</f>
        <v>1540892.83</v>
      </c>
      <c r="J21" s="371">
        <f>'MTRT 2016'!J47</f>
        <v>1672300.36</v>
      </c>
      <c r="K21" s="371">
        <f>'MTRT 2016'!K47</f>
        <v>1796412.99</v>
      </c>
      <c r="L21" s="371">
        <f>'MTRT 2016'!L47</f>
        <v>1573954.39</v>
      </c>
      <c r="M21" s="371">
        <f>'MTRT 2016'!M47</f>
        <v>1333294.6200000001</v>
      </c>
      <c r="N21" s="542">
        <f t="shared" si="0"/>
        <v>17007337.789999999</v>
      </c>
      <c r="O21" s="444">
        <f>SUM('TRT 2015'!B21:M21)</f>
        <v>16471452.83</v>
      </c>
      <c r="P21" s="642">
        <f t="shared" si="1"/>
        <v>3.2534164747384908E-2</v>
      </c>
      <c r="Q21" s="629">
        <f t="shared" si="2"/>
        <v>0.3050244372091398</v>
      </c>
    </row>
    <row r="22" spans="1:17">
      <c r="A22" s="484" t="s">
        <v>45</v>
      </c>
      <c r="B22" s="371">
        <f>'MTRT 2016'!B59</f>
        <v>37160</v>
      </c>
      <c r="C22" s="371">
        <f>'MTRT 2016'!C59</f>
        <v>36920.53</v>
      </c>
      <c r="D22" s="371">
        <f>'MTRT 2016'!D59</f>
        <v>9589.75</v>
      </c>
      <c r="E22" s="371">
        <f>'MTRT 2016'!E59</f>
        <v>17108.48</v>
      </c>
      <c r="F22" s="371">
        <f>'MTRT 2016'!F59</f>
        <v>63428.42</v>
      </c>
      <c r="G22" s="371">
        <f>'MTRT 2016'!G59</f>
        <v>50611.69</v>
      </c>
      <c r="H22" s="371">
        <f>'MTRT 2016'!H59</f>
        <v>100136.31</v>
      </c>
      <c r="I22" s="371">
        <f>'MTRT 2016'!I59</f>
        <v>120978.37</v>
      </c>
      <c r="J22" s="371">
        <f>'MTRT 2016'!J59</f>
        <v>100693.57</v>
      </c>
      <c r="K22" s="371">
        <f>'MTRT 2016'!K59</f>
        <v>107443.95</v>
      </c>
      <c r="L22" s="371">
        <f>'MTRT 2016'!L59</f>
        <v>129301.9</v>
      </c>
      <c r="M22" s="371">
        <f>'MTRT 2016'!M59</f>
        <v>76571</v>
      </c>
      <c r="N22" s="542">
        <f t="shared" si="0"/>
        <v>849943.97</v>
      </c>
      <c r="O22" s="444">
        <f>SUM('TRT 2015'!B22:M22)</f>
        <v>674388.6</v>
      </c>
      <c r="P22" s="642">
        <f t="shared" si="1"/>
        <v>0.26031781972589685</v>
      </c>
      <c r="Q22" s="629">
        <f t="shared" si="2"/>
        <v>1.5243636853087515E-2</v>
      </c>
    </row>
    <row r="23" spans="1:17">
      <c r="A23" s="484" t="s">
        <v>32</v>
      </c>
      <c r="B23" s="371">
        <f>'MTRT 2016'!B62</f>
        <v>2595</v>
      </c>
      <c r="C23" s="371">
        <f>'MTRT 2016'!C62</f>
        <v>12078.39</v>
      </c>
      <c r="D23" s="371">
        <f>'MTRT 2016'!D62</f>
        <v>3890.26</v>
      </c>
      <c r="E23" s="371">
        <f>'MTRT 2016'!E62</f>
        <v>6080.63</v>
      </c>
      <c r="F23" s="371">
        <f>'MTRT 2016'!F62</f>
        <v>12293.74</v>
      </c>
      <c r="G23" s="371">
        <f>'MTRT 2016'!G62</f>
        <v>2836.48</v>
      </c>
      <c r="H23" s="371">
        <f>'MTRT 2016'!H62</f>
        <v>7813.4</v>
      </c>
      <c r="I23" s="371">
        <f>'MTRT 2016'!I62</f>
        <v>18428.38</v>
      </c>
      <c r="J23" s="371">
        <f>'MTRT 2016'!J62</f>
        <v>10438.629999999999</v>
      </c>
      <c r="K23" s="371">
        <f>'MTRT 2016'!K62</f>
        <v>4866.1400000000003</v>
      </c>
      <c r="L23" s="371">
        <f>'MTRT 2016'!L62</f>
        <v>23627.82</v>
      </c>
      <c r="M23" s="371">
        <f>'MTRT 2016'!M62</f>
        <v>873.41</v>
      </c>
      <c r="N23" s="542">
        <f t="shared" si="0"/>
        <v>105822.28000000003</v>
      </c>
      <c r="O23" s="444">
        <f>SUM('TRT 2015'!B23:M23)</f>
        <v>108310.65</v>
      </c>
      <c r="P23" s="642">
        <f t="shared" si="1"/>
        <v>-2.2974379712428661E-2</v>
      </c>
      <c r="Q23" s="629">
        <f t="shared" si="2"/>
        <v>1.897909114274611E-3</v>
      </c>
    </row>
    <row r="24" spans="1:17">
      <c r="A24" s="484" t="s">
        <v>33</v>
      </c>
      <c r="B24" s="371">
        <f>'MTRT 2016'!B63</f>
        <v>26523</v>
      </c>
      <c r="C24" s="371">
        <f>'MTRT 2016'!C63</f>
        <v>30062.22</v>
      </c>
      <c r="D24" s="371">
        <f>'MTRT 2016'!D63</f>
        <v>24340.29</v>
      </c>
      <c r="E24" s="371">
        <f>'MTRT 2016'!E63</f>
        <v>28012.43</v>
      </c>
      <c r="F24" s="371">
        <f>'MTRT 2016'!F63</f>
        <v>41179.910000000003</v>
      </c>
      <c r="G24" s="371">
        <f>'MTRT 2016'!G63</f>
        <v>31129.02</v>
      </c>
      <c r="H24" s="371">
        <f>'MTRT 2016'!H63</f>
        <v>48852.42</v>
      </c>
      <c r="I24" s="371">
        <f>'MTRT 2016'!I63</f>
        <v>82356.75</v>
      </c>
      <c r="J24" s="371">
        <f>'MTRT 2016'!J63</f>
        <v>62490.85</v>
      </c>
      <c r="K24" s="371">
        <f>'MTRT 2016'!K63</f>
        <v>55231.21</v>
      </c>
      <c r="L24" s="371">
        <f>'MTRT 2016'!L63</f>
        <v>80053.850000000006</v>
      </c>
      <c r="M24" s="371">
        <f>'MTRT 2016'!M63</f>
        <v>31664.81</v>
      </c>
      <c r="N24" s="542">
        <f t="shared" si="0"/>
        <v>541896.76</v>
      </c>
      <c r="O24" s="444">
        <f>SUM('TRT 2015'!B24:M24)</f>
        <v>510893.67</v>
      </c>
      <c r="P24" s="642">
        <f t="shared" si="1"/>
        <v>6.0684036269230024E-2</v>
      </c>
      <c r="Q24" s="629">
        <f t="shared" si="2"/>
        <v>9.7188493746296258E-3</v>
      </c>
    </row>
    <row r="25" spans="1:17">
      <c r="A25" s="484" t="s">
        <v>34</v>
      </c>
      <c r="B25" s="371">
        <f>'MTRT 2016'!B66</f>
        <v>454070</v>
      </c>
      <c r="C25" s="371">
        <f>'MTRT 2016'!C66</f>
        <v>1337653.0900000001</v>
      </c>
      <c r="D25" s="371">
        <f>'MTRT 2016'!D66</f>
        <v>1418824.72</v>
      </c>
      <c r="E25" s="371">
        <f>'MTRT 2016'!E66</f>
        <v>1359271.17</v>
      </c>
      <c r="F25" s="371">
        <f>'MTRT 2016'!F66</f>
        <v>1661461.51</v>
      </c>
      <c r="G25" s="371">
        <f>'MTRT 2016'!G66</f>
        <v>199504.25</v>
      </c>
      <c r="H25" s="371">
        <f>'MTRT 2016'!H66</f>
        <v>177552.24</v>
      </c>
      <c r="I25" s="371">
        <f>'MTRT 2016'!I66</f>
        <v>429287.37</v>
      </c>
      <c r="J25" s="371">
        <f>'MTRT 2016'!J66</f>
        <v>479843.82</v>
      </c>
      <c r="K25" s="371">
        <f>'MTRT 2016'!K66</f>
        <v>480534.05</v>
      </c>
      <c r="L25" s="371">
        <f>'MTRT 2016'!L66</f>
        <v>444526.67</v>
      </c>
      <c r="M25" s="371">
        <f>'MTRT 2016'!M66</f>
        <v>218563.12</v>
      </c>
      <c r="N25" s="542">
        <f t="shared" si="0"/>
        <v>8661092.0099999998</v>
      </c>
      <c r="O25" s="444">
        <f>SUM('TRT 2015'!B25:M25)</f>
        <v>7716012.4900000002</v>
      </c>
      <c r="P25" s="642">
        <f t="shared" si="1"/>
        <v>0.12248289141895885</v>
      </c>
      <c r="Q25" s="629">
        <f t="shared" si="2"/>
        <v>0.15533558212268725</v>
      </c>
    </row>
    <row r="26" spans="1:17">
      <c r="A26" s="484" t="s">
        <v>35</v>
      </c>
      <c r="B26" s="371">
        <f>'MTRT 2016'!B67</f>
        <v>13478</v>
      </c>
      <c r="C26" s="371">
        <f>'MTRT 2016'!C67</f>
        <v>25007.52</v>
      </c>
      <c r="D26" s="371">
        <f>'MTRT 2016'!D67</f>
        <v>21754.2</v>
      </c>
      <c r="E26" s="371">
        <f>'MTRT 2016'!E67</f>
        <v>21549.47</v>
      </c>
      <c r="F26" s="371">
        <f>'MTRT 2016'!F67</f>
        <v>33414.31</v>
      </c>
      <c r="G26" s="371">
        <f>'MTRT 2016'!G67</f>
        <v>22743.53</v>
      </c>
      <c r="H26" s="371">
        <f>'MTRT 2016'!H67</f>
        <v>36007.370000000003</v>
      </c>
      <c r="I26" s="371">
        <f>'MTRT 2016'!I67</f>
        <v>47963.41</v>
      </c>
      <c r="J26" s="371">
        <f>'MTRT 2016'!J67</f>
        <v>37157.32</v>
      </c>
      <c r="K26" s="371">
        <f>'MTRT 2016'!K67</f>
        <v>52387.15</v>
      </c>
      <c r="L26" s="371">
        <f>'MTRT 2016'!L67</f>
        <v>53166.76</v>
      </c>
      <c r="M26" s="371">
        <f>'MTRT 2016'!M67</f>
        <v>32006.91</v>
      </c>
      <c r="N26" s="542">
        <f t="shared" si="0"/>
        <v>396635.95</v>
      </c>
      <c r="O26" s="444">
        <f>SUM('TRT 2015'!B26:M26)</f>
        <v>377721.89</v>
      </c>
      <c r="P26" s="642">
        <f t="shared" si="1"/>
        <v>5.0074037276473415E-2</v>
      </c>
      <c r="Q26" s="629">
        <f t="shared" si="2"/>
        <v>7.1136152476961251E-3</v>
      </c>
    </row>
    <row r="27" spans="1:17">
      <c r="A27" s="484" t="s">
        <v>36</v>
      </c>
      <c r="B27" s="371">
        <f>'MTRT 2016'!B69</f>
        <v>33111</v>
      </c>
      <c r="C27" s="371">
        <f>'MTRT 2016'!C69</f>
        <v>30636.89</v>
      </c>
      <c r="D27" s="371">
        <f>'MTRT 2016'!D69</f>
        <v>28795.93</v>
      </c>
      <c r="E27" s="371">
        <f>'MTRT 2016'!E69</f>
        <v>18568.009999999998</v>
      </c>
      <c r="F27" s="371">
        <f>'MTRT 2016'!F69</f>
        <v>35414.339999999997</v>
      </c>
      <c r="G27" s="371">
        <f>'MTRT 2016'!G69</f>
        <v>34678.94</v>
      </c>
      <c r="H27" s="371">
        <f>'MTRT 2016'!H69</f>
        <v>50943.19</v>
      </c>
      <c r="I27" s="371">
        <f>'MTRT 2016'!I69</f>
        <v>70323.09</v>
      </c>
      <c r="J27" s="371">
        <f>'MTRT 2016'!J69</f>
        <v>54497.61</v>
      </c>
      <c r="K27" s="371">
        <f>'MTRT 2016'!K69</f>
        <v>49568.69</v>
      </c>
      <c r="L27" s="371">
        <f>'MTRT 2016'!L69</f>
        <v>65499.34</v>
      </c>
      <c r="M27" s="371">
        <f>'MTRT 2016'!M69</f>
        <v>36490.699999999997</v>
      </c>
      <c r="N27" s="542">
        <f t="shared" si="0"/>
        <v>508527.73000000004</v>
      </c>
      <c r="O27" s="444">
        <f>SUM('TRT 2015'!B27:M27)</f>
        <v>624462.05000000005</v>
      </c>
      <c r="P27" s="642">
        <f t="shared" si="1"/>
        <v>-0.18565470872089029</v>
      </c>
      <c r="Q27" s="629">
        <f t="shared" si="2"/>
        <v>9.1203800714592265E-3</v>
      </c>
    </row>
    <row r="28" spans="1:17">
      <c r="A28" s="484" t="s">
        <v>37</v>
      </c>
      <c r="B28" s="371">
        <f>'MTRT 2016'!B73</f>
        <v>189068</v>
      </c>
      <c r="C28" s="371">
        <f>'MTRT 2016'!C73</f>
        <v>183974.97</v>
      </c>
      <c r="D28" s="371">
        <f>'MTRT 2016'!D73</f>
        <v>198657.24</v>
      </c>
      <c r="E28" s="371">
        <f>'MTRT 2016'!E73</f>
        <v>203940.1</v>
      </c>
      <c r="F28" s="371">
        <f>'MTRT 2016'!F73</f>
        <v>287731.15999999997</v>
      </c>
      <c r="G28" s="371">
        <f>'MTRT 2016'!G73</f>
        <v>261162.42</v>
      </c>
      <c r="H28" s="371">
        <f>'MTRT 2016'!H73</f>
        <v>272136.13</v>
      </c>
      <c r="I28" s="371">
        <f>'MTRT 2016'!I73</f>
        <v>328017.02</v>
      </c>
      <c r="J28" s="371">
        <f>'MTRT 2016'!J73</f>
        <v>340676.16</v>
      </c>
      <c r="K28" s="371">
        <f>'MTRT 2016'!K73</f>
        <v>386528.12</v>
      </c>
      <c r="L28" s="371">
        <f>'MTRT 2016'!L73</f>
        <v>338290.89</v>
      </c>
      <c r="M28" s="371">
        <f>'MTRT 2016'!M73</f>
        <v>255139.46</v>
      </c>
      <c r="N28" s="542">
        <f t="shared" si="0"/>
        <v>3245321.6700000004</v>
      </c>
      <c r="O28" s="444">
        <f>SUM('TRT 2015'!B28:M28)</f>
        <v>2921312.36</v>
      </c>
      <c r="P28" s="642">
        <f t="shared" si="1"/>
        <v>0.1109122442490198</v>
      </c>
      <c r="Q28" s="629">
        <f t="shared" si="2"/>
        <v>5.8204430827287983E-2</v>
      </c>
    </row>
    <row r="29" spans="1:17">
      <c r="A29" s="484" t="s">
        <v>38</v>
      </c>
      <c r="B29" s="371">
        <f>'MTRT 2016'!B80</f>
        <v>37252</v>
      </c>
      <c r="C29" s="371">
        <f>'MTRT 2016'!C80</f>
        <v>204651.75</v>
      </c>
      <c r="D29" s="371">
        <f>'MTRT 2016'!D80</f>
        <v>409257.35</v>
      </c>
      <c r="E29" s="371">
        <f>'MTRT 2016'!E80</f>
        <v>63702.080000000002</v>
      </c>
      <c r="F29" s="371">
        <f>'MTRT 2016'!F80</f>
        <v>252911.96</v>
      </c>
      <c r="G29" s="371">
        <f>'MTRT 2016'!G80</f>
        <v>38692.629999999997</v>
      </c>
      <c r="H29" s="371">
        <f>'MTRT 2016'!H80</f>
        <v>87227.75</v>
      </c>
      <c r="I29" s="371">
        <f>'MTRT 2016'!I80</f>
        <v>162920.24</v>
      </c>
      <c r="J29" s="371">
        <f>'MTRT 2016'!J80</f>
        <v>136056.51</v>
      </c>
      <c r="K29" s="371">
        <f>'MTRT 2016'!K80</f>
        <v>129062.61</v>
      </c>
      <c r="L29" s="371">
        <f>'MTRT 2016'!L80</f>
        <v>200928.24</v>
      </c>
      <c r="M29" s="371">
        <f>'MTRT 2016'!M80</f>
        <v>58211.86</v>
      </c>
      <c r="N29" s="542">
        <f t="shared" si="0"/>
        <v>1780874.9800000002</v>
      </c>
      <c r="O29" s="444">
        <f>SUM('TRT 2015'!B29:M29)</f>
        <v>1477223.41</v>
      </c>
      <c r="P29" s="642">
        <f t="shared" si="1"/>
        <v>0.20555561734565275</v>
      </c>
      <c r="Q29" s="629">
        <f t="shared" si="2"/>
        <v>3.1939765954065766E-2</v>
      </c>
    </row>
    <row r="30" spans="1:17">
      <c r="A30" s="484" t="s">
        <v>39</v>
      </c>
      <c r="B30" s="371">
        <f>'MTRT 2016'!B83</f>
        <v>329215</v>
      </c>
      <c r="C30" s="371">
        <f>'MTRT 2016'!C83</f>
        <v>378747.38</v>
      </c>
      <c r="D30" s="371">
        <f>'MTRT 2016'!D83</f>
        <v>250572.94</v>
      </c>
      <c r="E30" s="371">
        <f>'MTRT 2016'!E83</f>
        <v>345569.11</v>
      </c>
      <c r="F30" s="371">
        <f>'MTRT 2016'!F83</f>
        <v>786784.08</v>
      </c>
      <c r="G30" s="371">
        <f>'MTRT 2016'!G83</f>
        <v>577666.59</v>
      </c>
      <c r="H30" s="371">
        <f>'MTRT 2016'!H83</f>
        <v>593335.28</v>
      </c>
      <c r="I30" s="371">
        <f>'MTRT 2016'!I83</f>
        <v>768158.43</v>
      </c>
      <c r="J30" s="371">
        <f>'MTRT 2016'!J83</f>
        <v>586296.29</v>
      </c>
      <c r="K30" s="371">
        <f>'MTRT 2016'!K83</f>
        <v>646271.38</v>
      </c>
      <c r="L30" s="371">
        <f>'MTRT 2016'!L83</f>
        <v>866713.16</v>
      </c>
      <c r="M30" s="371">
        <f>'MTRT 2016'!M83</f>
        <v>643844.73</v>
      </c>
      <c r="N30" s="542">
        <f t="shared" si="0"/>
        <v>6773174.3699999992</v>
      </c>
      <c r="O30" s="444">
        <f>SUM('TRT 2015'!B30:M30)</f>
        <v>5620812.3999999994</v>
      </c>
      <c r="P30" s="642">
        <f t="shared" si="1"/>
        <v>0.20501697761697213</v>
      </c>
      <c r="Q30" s="629">
        <f t="shared" si="2"/>
        <v>0.12147601969447445</v>
      </c>
    </row>
    <row r="31" spans="1:17">
      <c r="A31" s="484" t="s">
        <v>40</v>
      </c>
      <c r="B31" s="371">
        <f>'MTRT 2016'!B93</f>
        <v>6984</v>
      </c>
      <c r="C31" s="371">
        <f>'MTRT 2016'!C93</f>
        <v>21541.41</v>
      </c>
      <c r="D31" s="371">
        <f>'MTRT 2016'!D93</f>
        <v>2689.22</v>
      </c>
      <c r="E31" s="371">
        <f>'MTRT 2016'!E93</f>
        <v>4533.59</v>
      </c>
      <c r="F31" s="371">
        <f>'MTRT 2016'!F93</f>
        <v>24802.15</v>
      </c>
      <c r="G31" s="371">
        <f>'MTRT 2016'!G93</f>
        <v>26493.040000000001</v>
      </c>
      <c r="H31" s="371">
        <f>'MTRT 2016'!H93</f>
        <v>37843.18</v>
      </c>
      <c r="I31" s="371">
        <f>'MTRT 2016'!I93</f>
        <v>80355.460000000006</v>
      </c>
      <c r="J31" s="371">
        <f>'MTRT 2016'!J93</f>
        <v>39556.559999999998</v>
      </c>
      <c r="K31" s="371">
        <f>'MTRT 2016'!K93</f>
        <v>52030.03</v>
      </c>
      <c r="L31" s="371">
        <f>'MTRT 2016'!L93</f>
        <v>78789.259999999995</v>
      </c>
      <c r="M31" s="371">
        <f>'MTRT 2016'!M93</f>
        <v>39750.85</v>
      </c>
      <c r="N31" s="542">
        <f t="shared" si="0"/>
        <v>415368.75</v>
      </c>
      <c r="O31" s="444">
        <f>SUM('TRT 2015'!B31:M31)</f>
        <v>311615.52</v>
      </c>
      <c r="P31" s="642">
        <f t="shared" si="1"/>
        <v>0.33295270402449773</v>
      </c>
      <c r="Q31" s="629">
        <f t="shared" si="2"/>
        <v>7.4495856298867503E-3</v>
      </c>
    </row>
    <row r="32" spans="1:17" ht="13" thickBot="1">
      <c r="A32" s="483" t="s">
        <v>41</v>
      </c>
      <c r="B32" s="371">
        <f>'MTRT 2016'!B96</f>
        <v>85917</v>
      </c>
      <c r="C32" s="371">
        <f>'MTRT 2016'!C96</f>
        <v>99538.08</v>
      </c>
      <c r="D32" s="371">
        <f>'MTRT 2016'!D96</f>
        <v>87583.88</v>
      </c>
      <c r="E32" s="371">
        <f>'MTRT 2016'!E96</f>
        <v>96132.61</v>
      </c>
      <c r="F32" s="371">
        <f>'MTRT 2016'!F96</f>
        <v>187813.32</v>
      </c>
      <c r="G32" s="371">
        <f>'MTRT 2016'!G96</f>
        <v>98352.83</v>
      </c>
      <c r="H32" s="371">
        <f>'MTRT 2016'!H96</f>
        <v>112535.11</v>
      </c>
      <c r="I32" s="371">
        <f>'MTRT 2016'!I96</f>
        <v>151153.54</v>
      </c>
      <c r="J32" s="371">
        <f>'MTRT 2016'!J96</f>
        <v>176121.28</v>
      </c>
      <c r="K32" s="371">
        <f>'MTRT 2016'!K96</f>
        <v>161888.56</v>
      </c>
      <c r="L32" s="371">
        <f>'MTRT 2016'!L96</f>
        <v>160138.12</v>
      </c>
      <c r="M32" s="371">
        <f>'MTRT 2016'!M96</f>
        <v>89391.66</v>
      </c>
      <c r="N32" s="542">
        <f t="shared" si="0"/>
        <v>1506565.99</v>
      </c>
      <c r="O32" s="444">
        <f>SUM('TRT 2015'!B32:M32)</f>
        <v>1370016.71</v>
      </c>
      <c r="P32" s="642">
        <f t="shared" si="1"/>
        <v>9.9669791618818948E-2</v>
      </c>
      <c r="Q32" s="629">
        <f t="shared" si="2"/>
        <v>2.7020069154408237E-2</v>
      </c>
    </row>
    <row r="33" spans="1:17" ht="13" thickBot="1">
      <c r="A33" s="250" t="s">
        <v>54</v>
      </c>
      <c r="B33" s="141">
        <f>SUM(B4:B32)</f>
        <v>2644323.9</v>
      </c>
      <c r="C33" s="141">
        <f t="shared" ref="C33:O33" si="3">SUM(C4:C32)</f>
        <v>4218985.74</v>
      </c>
      <c r="D33" s="141">
        <f t="shared" si="3"/>
        <v>4142156.5000000005</v>
      </c>
      <c r="E33" s="141">
        <f t="shared" si="3"/>
        <v>4034655.7399999993</v>
      </c>
      <c r="F33" s="141">
        <f t="shared" si="3"/>
        <v>6462954.2500000009</v>
      </c>
      <c r="G33" s="141">
        <f t="shared" si="3"/>
        <v>3380282.5799999996</v>
      </c>
      <c r="H33" s="141">
        <f t="shared" si="3"/>
        <v>4282686.2799999993</v>
      </c>
      <c r="I33" s="141">
        <f t="shared" si="3"/>
        <v>5784629</v>
      </c>
      <c r="J33" s="141">
        <f t="shared" si="3"/>
        <v>5321718.9299999988</v>
      </c>
      <c r="K33" s="141">
        <f t="shared" si="3"/>
        <v>5458821.129999999</v>
      </c>
      <c r="L33" s="141">
        <f t="shared" si="3"/>
        <v>6013627.2699999996</v>
      </c>
      <c r="M33" s="141">
        <f t="shared" si="3"/>
        <v>4012454.5400000005</v>
      </c>
      <c r="N33" s="548">
        <f t="shared" si="3"/>
        <v>55757295.859999999</v>
      </c>
      <c r="O33" s="549">
        <f t="shared" si="3"/>
        <v>50510264.710000001</v>
      </c>
      <c r="P33" s="481">
        <f>N33/O33-1</f>
        <v>0.10388049201732241</v>
      </c>
      <c r="Q33" s="630">
        <f t="shared" si="2"/>
        <v>1</v>
      </c>
    </row>
    <row r="34" spans="1:17" ht="13" thickBot="1">
      <c r="A34" s="537" t="s">
        <v>265</v>
      </c>
      <c r="B34" s="538">
        <f>(B33/'TRT 2015'!B33)-1</f>
        <v>0.20184135174883244</v>
      </c>
      <c r="C34" s="538">
        <f>(C33/'TRT 2015'!C33)-1</f>
        <v>0.10580322197917535</v>
      </c>
      <c r="D34" s="538">
        <f>(D33/'TRT 2015'!D33)-1</f>
        <v>-1.7504162397930401E-2</v>
      </c>
      <c r="E34" s="538">
        <f>(E33/'TRT 2015'!E33)-1</f>
        <v>0.10748080348293909</v>
      </c>
      <c r="F34" s="538">
        <f>(F33/'TRT 2015'!F33)-1</f>
        <v>0.19492688066228636</v>
      </c>
      <c r="G34" s="538">
        <f>(G33/'TRT 2015'!G33)-1</f>
        <v>-6.0781172132799544E-2</v>
      </c>
      <c r="H34" s="538">
        <f>(H33/'TRT 2015'!H33)-1</f>
        <v>0.13744316029429027</v>
      </c>
      <c r="I34" s="538">
        <f>(I33/'TRT 2015'!I33)-1</f>
        <v>0.12371325899936614</v>
      </c>
      <c r="J34" s="538">
        <f>(J33/'TRT 2015'!J33)-1</f>
        <v>0.11040769219240154</v>
      </c>
      <c r="K34" s="538">
        <f>(K33/'TRT 2015'!K33)-1</f>
        <v>0.15866803571845489</v>
      </c>
      <c r="L34" s="538">
        <f>(L33/'TRT 2015'!L33)-1</f>
        <v>0.12443417228882003</v>
      </c>
      <c r="M34" s="538">
        <f>(M33/'TRT 2015'!M33)-1</f>
        <v>3.8687110504099786E-2</v>
      </c>
      <c r="N34" s="569"/>
      <c r="O34" s="570"/>
      <c r="P34" s="571"/>
      <c r="Q34" s="571"/>
    </row>
    <row r="35" spans="1:17" s="236" customFormat="1"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7"/>
    </row>
    <row r="36" spans="1:17" ht="21">
      <c r="A36" s="691" t="s">
        <v>354</v>
      </c>
      <c r="B36" s="691"/>
      <c r="C36" s="691"/>
      <c r="D36" s="691"/>
      <c r="E36" s="691"/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</row>
    <row r="37" spans="1:17" ht="13" thickBot="1"/>
    <row r="38" spans="1:17" ht="13" thickBot="1">
      <c r="A38" s="129" t="s">
        <v>42</v>
      </c>
      <c r="B38" s="130" t="s">
        <v>2</v>
      </c>
      <c r="C38" s="131" t="s">
        <v>3</v>
      </c>
      <c r="D38" s="131" t="s">
        <v>4</v>
      </c>
      <c r="E38" s="131" t="s">
        <v>5</v>
      </c>
      <c r="F38" s="131" t="s">
        <v>6</v>
      </c>
      <c r="G38" s="131" t="s">
        <v>7</v>
      </c>
      <c r="H38" s="131" t="s">
        <v>8</v>
      </c>
      <c r="I38" s="131" t="s">
        <v>9</v>
      </c>
      <c r="J38" s="131" t="s">
        <v>10</v>
      </c>
      <c r="K38" s="131" t="s">
        <v>11</v>
      </c>
      <c r="L38" s="131" t="s">
        <v>12</v>
      </c>
      <c r="M38" s="398" t="s">
        <v>13</v>
      </c>
      <c r="N38" s="540" t="s">
        <v>349</v>
      </c>
      <c r="O38" s="472" t="s">
        <v>336</v>
      </c>
      <c r="P38" s="588" t="s">
        <v>16</v>
      </c>
    </row>
    <row r="39" spans="1:17" ht="13" thickBot="1">
      <c r="A39" s="40" t="s">
        <v>31</v>
      </c>
      <c r="B39" s="523">
        <v>127025.24</v>
      </c>
      <c r="C39" s="524">
        <v>167458</v>
      </c>
      <c r="D39" s="524">
        <v>190737.64</v>
      </c>
      <c r="E39" s="524">
        <v>194724.8</v>
      </c>
      <c r="F39" s="524">
        <v>250629.57</v>
      </c>
      <c r="G39" s="524">
        <v>152630.35</v>
      </c>
      <c r="H39" s="524">
        <v>174992.34</v>
      </c>
      <c r="I39" s="524">
        <v>213272.38</v>
      </c>
      <c r="J39" s="524">
        <v>231460.27</v>
      </c>
      <c r="K39" s="524">
        <v>248638.47</v>
      </c>
      <c r="L39" s="524">
        <v>217848.36</v>
      </c>
      <c r="M39" s="543">
        <v>184538.96</v>
      </c>
      <c r="N39" s="545">
        <f>SUM(B39:M39)</f>
        <v>2353956.3800000004</v>
      </c>
      <c r="O39" s="544">
        <f>SUM('TRT 2015'!B39:M39)</f>
        <v>2279786.06</v>
      </c>
      <c r="P39" s="481">
        <f>N39/O39-1</f>
        <v>3.2533894869065216E-2</v>
      </c>
    </row>
    <row r="40" spans="1:17" ht="13" thickBot="1">
      <c r="A40" s="537" t="s">
        <v>265</v>
      </c>
      <c r="B40" s="538">
        <f>B39/'TRT 2015'!B39-1</f>
        <v>8.9011765591442638E-2</v>
      </c>
      <c r="C40" s="538">
        <f>C39/'TRT 2015'!C39-1</f>
        <v>5.2492578694809389E-2</v>
      </c>
      <c r="D40" s="538">
        <f>D39/'TRT 2015'!D39-1</f>
        <v>-9.0471779530443275E-4</v>
      </c>
      <c r="E40" s="538">
        <f>E39/'TRT 2015'!E39-1</f>
        <v>-1.2932135688071611E-2</v>
      </c>
      <c r="F40" s="538">
        <f>F39/'TRT 2015'!F39-1</f>
        <v>3.5896052449338578E-2</v>
      </c>
      <c r="G40" s="538">
        <f>G39/'TRT 2015'!G39-1</f>
        <v>-7.7224461022753044E-2</v>
      </c>
      <c r="H40" s="538">
        <f>H39/'TRT 2015'!H39-1</f>
        <v>3.6346745056601959E-2</v>
      </c>
      <c r="I40" s="538">
        <f>I39/'TRT 2015'!I39-1</f>
        <v>5.3506122809276802E-2</v>
      </c>
      <c r="J40" s="538">
        <f>J39/'TRT 2015'!J39-1</f>
        <v>6.9584411534714619E-2</v>
      </c>
      <c r="K40" s="538">
        <f>K39/'TRT 2015'!K39-1</f>
        <v>0.14016153855254543</v>
      </c>
      <c r="L40" s="538">
        <f>L39/'TRT 2015'!L39-1</f>
        <v>2.5965384887088661E-2</v>
      </c>
      <c r="M40" s="538">
        <f>M39/'TRT 2015'!M39-1</f>
        <v>-3.0767501588785606E-2</v>
      </c>
      <c r="N40" s="572"/>
      <c r="O40" s="572"/>
      <c r="P40" s="573"/>
    </row>
    <row r="41" spans="1:17">
      <c r="N41" s="100"/>
    </row>
    <row r="42" spans="1:17">
      <c r="A42" s="188"/>
      <c r="M42" s="186"/>
      <c r="N42" s="100"/>
    </row>
    <row r="43" spans="1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7">
      <c r="H44" s="100"/>
    </row>
    <row r="45" spans="1:17">
      <c r="E45" s="222" t="s">
        <v>334</v>
      </c>
      <c r="G45" s="116"/>
      <c r="H45" s="100"/>
      <c r="I45" s="100"/>
    </row>
    <row r="46" spans="1:17">
      <c r="A46" s="208"/>
      <c r="B46" s="208"/>
      <c r="C46" s="208"/>
      <c r="D46" s="208"/>
      <c r="E46" s="208"/>
      <c r="F46" s="208"/>
      <c r="G46" s="209"/>
      <c r="H46" s="217"/>
      <c r="I46" s="208"/>
      <c r="J46" s="208"/>
      <c r="K46" s="208"/>
      <c r="L46" s="208"/>
      <c r="M46" s="208"/>
      <c r="N46" s="208"/>
    </row>
    <row r="47" spans="1:17">
      <c r="A47" s="210"/>
      <c r="B47" s="190"/>
      <c r="C47" s="190"/>
      <c r="D47" s="190"/>
      <c r="E47" s="190"/>
      <c r="F47" s="190"/>
      <c r="G47" s="190"/>
      <c r="H47" s="215"/>
      <c r="I47" s="190"/>
      <c r="J47" s="190"/>
      <c r="K47" s="190"/>
      <c r="L47" s="190"/>
      <c r="M47" s="190"/>
    </row>
    <row r="48" spans="1:17">
      <c r="A48" s="212"/>
      <c r="B48" s="213"/>
      <c r="C48" s="213"/>
      <c r="D48" s="213"/>
      <c r="E48" s="213"/>
      <c r="F48" s="213"/>
      <c r="G48" s="213"/>
      <c r="H48" s="213"/>
      <c r="I48" s="214"/>
      <c r="J48" s="212"/>
      <c r="K48" s="212"/>
      <c r="L48" s="212"/>
      <c r="M48" s="212"/>
      <c r="N48" s="212"/>
    </row>
    <row r="49" spans="7:7">
      <c r="G49" s="186"/>
    </row>
    <row r="50" spans="7:7">
      <c r="G50" s="193"/>
    </row>
    <row r="51" spans="7:7">
      <c r="G51" s="194"/>
    </row>
  </sheetData>
  <mergeCells count="2">
    <mergeCell ref="A1:Q1"/>
    <mergeCell ref="A36:P36"/>
  </mergeCells>
  <conditionalFormatting sqref="P4:P33 P39">
    <cfRule type="cellIs" dxfId="4" priority="1" operator="lessThan">
      <formula>0</formula>
    </cfRule>
  </conditionalFormatting>
  <printOptions horizontalCentered="1"/>
  <pageMargins left="0.25" right="0.25" top="0.25" bottom="0.25" header="0" footer="0"/>
  <pageSetup scale="86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 enableFormatConditionsCalculation="0">
    <tabColor rgb="FF0070C0"/>
    <pageSetUpPr fitToPage="1"/>
  </sheetPr>
  <dimension ref="A1:Q51"/>
  <sheetViews>
    <sheetView workbookViewId="0">
      <pane xSplit="1" topLeftCell="B1" activePane="topRight" state="frozen"/>
      <selection pane="topRight" activeCell="B30" sqref="B30:M30"/>
    </sheetView>
  </sheetViews>
  <sheetFormatPr baseColWidth="10" defaultColWidth="8.83203125" defaultRowHeight="12" x14ac:dyDescent="0"/>
  <cols>
    <col min="1" max="1" width="11.33203125" bestFit="1" customWidth="1"/>
    <col min="2" max="12" width="9.6640625" customWidth="1"/>
    <col min="13" max="13" width="10.5" bestFit="1" customWidth="1"/>
    <col min="14" max="14" width="11.1640625" bestFit="1" customWidth="1"/>
    <col min="15" max="15" width="9.5" bestFit="1" customWidth="1"/>
    <col min="16" max="16" width="10.1640625" bestFit="1" customWidth="1"/>
  </cols>
  <sheetData>
    <row r="1" spans="1:17" ht="17">
      <c r="A1" s="712" t="s">
        <v>337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</row>
    <row r="2" spans="1:17" ht="13" thickBot="1"/>
    <row r="3" spans="1:17" ht="13" thickBot="1">
      <c r="A3" s="129" t="s">
        <v>42</v>
      </c>
      <c r="B3" s="130" t="s">
        <v>2</v>
      </c>
      <c r="C3" s="131" t="s">
        <v>3</v>
      </c>
      <c r="D3" s="131" t="s">
        <v>4</v>
      </c>
      <c r="E3" s="131" t="s">
        <v>5</v>
      </c>
      <c r="F3" s="131" t="s">
        <v>6</v>
      </c>
      <c r="G3" s="131" t="s">
        <v>7</v>
      </c>
      <c r="H3" s="131" t="s">
        <v>8</v>
      </c>
      <c r="I3" s="131" t="s">
        <v>9</v>
      </c>
      <c r="J3" s="131" t="s">
        <v>10</v>
      </c>
      <c r="K3" s="131" t="s">
        <v>11</v>
      </c>
      <c r="L3" s="131" t="s">
        <v>12</v>
      </c>
      <c r="M3" s="398" t="s">
        <v>13</v>
      </c>
      <c r="N3" s="540" t="s">
        <v>336</v>
      </c>
      <c r="O3" s="472" t="s">
        <v>147</v>
      </c>
      <c r="P3" s="588" t="s">
        <v>16</v>
      </c>
      <c r="Q3" s="628" t="s">
        <v>58</v>
      </c>
    </row>
    <row r="4" spans="1:17">
      <c r="A4" s="482" t="s">
        <v>17</v>
      </c>
      <c r="B4" s="371">
        <f>'MTRT 2015'!B4</f>
        <v>8642.76</v>
      </c>
      <c r="C4" s="371">
        <f>'MTRT 2015'!C4</f>
        <v>24211.95</v>
      </c>
      <c r="D4" s="371">
        <f>'MTRT 2015'!D4</f>
        <v>9874.07</v>
      </c>
      <c r="E4" s="371">
        <f>'MTRT 2015'!E4</f>
        <v>8436.4500000000007</v>
      </c>
      <c r="F4" s="371">
        <f>'MTRT 2015'!F4</f>
        <v>18447.87</v>
      </c>
      <c r="G4" s="371">
        <f>'MTRT 2015'!G4</f>
        <v>16210.36</v>
      </c>
      <c r="H4" s="371">
        <f>'MTRT 2015'!H4</f>
        <v>15933.34</v>
      </c>
      <c r="I4" s="371">
        <f>'MTRT 2015'!I4</f>
        <v>39368.910000000003</v>
      </c>
      <c r="J4" s="371">
        <f>'MTRT 2015'!J4</f>
        <v>16144.71</v>
      </c>
      <c r="K4" s="371">
        <f>'MTRT 2015'!K4</f>
        <v>17764.87</v>
      </c>
      <c r="L4" s="371">
        <f>'MTRT 2015'!L4</f>
        <v>47629.07</v>
      </c>
      <c r="M4" s="371">
        <f>'MTRT 2015'!M4</f>
        <v>17253</v>
      </c>
      <c r="N4" s="541">
        <f t="shared" ref="N4:N32" si="0">SUM(B4:M4)</f>
        <v>239917.36</v>
      </c>
      <c r="O4" s="444">
        <f>SUM('TRT 2014'!B4:M4)</f>
        <v>215666.34</v>
      </c>
      <c r="P4" s="589">
        <f>N4/O4-1</f>
        <v>0.11244694002782252</v>
      </c>
      <c r="Q4" s="629">
        <f>N4/$N$33</f>
        <v>4.7498733451005106E-3</v>
      </c>
    </row>
    <row r="5" spans="1:17">
      <c r="A5" s="483" t="s">
        <v>18</v>
      </c>
      <c r="B5" s="371">
        <f>'MTRT 2015'!B6</f>
        <v>15276.04</v>
      </c>
      <c r="C5" s="371">
        <f>'MTRT 2015'!C6</f>
        <v>15965.28</v>
      </c>
      <c r="D5" s="371">
        <f>'MTRT 2015'!D6</f>
        <v>11468.35</v>
      </c>
      <c r="E5" s="371">
        <f>'MTRT 2015'!E6</f>
        <v>14374.36</v>
      </c>
      <c r="F5" s="371">
        <f>'MTRT 2015'!F6</f>
        <v>22212.01</v>
      </c>
      <c r="G5" s="371">
        <f>'MTRT 2015'!G6</f>
        <v>19675.169999999998</v>
      </c>
      <c r="H5" s="371">
        <f>'MTRT 2015'!H6</f>
        <v>24506.93</v>
      </c>
      <c r="I5" s="371">
        <f>'MTRT 2015'!I6</f>
        <v>35375.18</v>
      </c>
      <c r="J5" s="371">
        <f>'MTRT 2015'!J6</f>
        <v>26266.67</v>
      </c>
      <c r="K5" s="371">
        <f>'MTRT 2015'!K6</f>
        <v>33749.019999999997</v>
      </c>
      <c r="L5" s="371">
        <f>'MTRT 2015'!L6</f>
        <v>42649.55</v>
      </c>
      <c r="M5" s="371">
        <f>'MTRT 2015'!M6</f>
        <v>20236</v>
      </c>
      <c r="N5" s="542">
        <f t="shared" si="0"/>
        <v>281754.56</v>
      </c>
      <c r="O5" s="444">
        <f>SUM('TRT 2014'!B5:M5)</f>
        <v>237348.82</v>
      </c>
      <c r="P5" s="589">
        <f t="shared" ref="P5:P32" si="1">N5/O5-1</f>
        <v>0.18709062888958106</v>
      </c>
      <c r="Q5" s="629">
        <f t="shared" ref="Q5:Q33" si="2">N5/$N$33</f>
        <v>5.578164391290912E-3</v>
      </c>
    </row>
    <row r="6" spans="1:17">
      <c r="A6" s="484" t="s">
        <v>19</v>
      </c>
      <c r="B6" s="371">
        <f>'MTRT 2015'!B10</f>
        <v>29783.09</v>
      </c>
      <c r="C6" s="371">
        <f>'MTRT 2015'!C10</f>
        <v>29100.42</v>
      </c>
      <c r="D6" s="371">
        <f>'MTRT 2015'!D10</f>
        <v>29025.52</v>
      </c>
      <c r="E6" s="371">
        <f>'MTRT 2015'!E10</f>
        <v>25040.13</v>
      </c>
      <c r="F6" s="371">
        <f>'MTRT 2015'!F10</f>
        <v>46498.49</v>
      </c>
      <c r="G6" s="371">
        <f>'MTRT 2015'!G10</f>
        <v>34304.28</v>
      </c>
      <c r="H6" s="371">
        <f>'MTRT 2015'!H10</f>
        <v>33021.29</v>
      </c>
      <c r="I6" s="371">
        <f>'MTRT 2015'!I10</f>
        <v>64908.44</v>
      </c>
      <c r="J6" s="371">
        <f>'MTRT 2015'!J10</f>
        <v>60146.07</v>
      </c>
      <c r="K6" s="371">
        <f>'MTRT 2015'!K10</f>
        <v>59227.66</v>
      </c>
      <c r="L6" s="371">
        <f>'MTRT 2015'!L10</f>
        <v>72770.100000000006</v>
      </c>
      <c r="M6" s="371">
        <f>'MTRT 2015'!M10</f>
        <v>42906</v>
      </c>
      <c r="N6" s="542">
        <f t="shared" si="0"/>
        <v>526731.49</v>
      </c>
      <c r="O6" s="444">
        <f>SUM('TRT 2014'!B6:M6)</f>
        <v>440442.52</v>
      </c>
      <c r="P6" s="589">
        <f t="shared" si="1"/>
        <v>0.19591425914101102</v>
      </c>
      <c r="Q6" s="629">
        <f t="shared" si="2"/>
        <v>1.0428206880802942E-2</v>
      </c>
    </row>
    <row r="7" spans="1:17">
      <c r="A7" s="484" t="s">
        <v>20</v>
      </c>
      <c r="B7" s="371">
        <f>'MTRT 2015'!B13</f>
        <v>9152.74</v>
      </c>
      <c r="C7" s="371">
        <f>'MTRT 2015'!C13</f>
        <v>14887.89</v>
      </c>
      <c r="D7" s="371">
        <f>'MTRT 2015'!D13</f>
        <v>11076.52</v>
      </c>
      <c r="E7" s="371">
        <f>'MTRT 2015'!E13</f>
        <v>10529.55</v>
      </c>
      <c r="F7" s="371">
        <f>'MTRT 2015'!F13</f>
        <v>28530.11</v>
      </c>
      <c r="G7" s="371">
        <f>'MTRT 2015'!G13</f>
        <v>14589.92</v>
      </c>
      <c r="H7" s="371">
        <f>'MTRT 2015'!H13</f>
        <v>14438.5</v>
      </c>
      <c r="I7" s="371">
        <f>'MTRT 2015'!I13</f>
        <v>39541.129999999997</v>
      </c>
      <c r="J7" s="371">
        <f>'MTRT 2015'!J13</f>
        <v>14400.71</v>
      </c>
      <c r="K7" s="371">
        <f>'MTRT 2015'!K13</f>
        <v>18137.98</v>
      </c>
      <c r="L7" s="371">
        <f>'MTRT 2015'!L13</f>
        <v>46688.53</v>
      </c>
      <c r="M7" s="371">
        <f>'MTRT 2015'!M13</f>
        <v>15648</v>
      </c>
      <c r="N7" s="542">
        <f t="shared" si="0"/>
        <v>237621.58</v>
      </c>
      <c r="O7" s="444">
        <f>SUM('TRT 2014'!B7:M7)</f>
        <v>252734.36999999997</v>
      </c>
      <c r="P7" s="589">
        <f t="shared" si="1"/>
        <v>-5.9797130085630923E-2</v>
      </c>
      <c r="Q7" s="629">
        <f t="shared" si="2"/>
        <v>4.7044215935965143E-3</v>
      </c>
    </row>
    <row r="8" spans="1:17">
      <c r="A8" s="484" t="s">
        <v>21</v>
      </c>
      <c r="B8" s="371">
        <f>'MTRT 2015'!B16</f>
        <v>2143.7199999999998</v>
      </c>
      <c r="C8" s="371">
        <f>'MTRT 2015'!C16</f>
        <v>2198.9899999999998</v>
      </c>
      <c r="D8" s="371">
        <f>'MTRT 2015'!D16</f>
        <v>1516.57</v>
      </c>
      <c r="E8" s="371">
        <f>'MTRT 2015'!E16</f>
        <v>1503.39</v>
      </c>
      <c r="F8" s="371">
        <f>'MTRT 2015'!F16</f>
        <v>2994.62</v>
      </c>
      <c r="G8" s="371">
        <f>'MTRT 2015'!G16</f>
        <v>6332.01</v>
      </c>
      <c r="H8" s="371">
        <f>'MTRT 2015'!H16</f>
        <v>8102.58</v>
      </c>
      <c r="I8" s="371">
        <f>'MTRT 2015'!I16</f>
        <v>14644.31</v>
      </c>
      <c r="J8" s="371">
        <f>'MTRT 2015'!J16</f>
        <v>14428.55</v>
      </c>
      <c r="K8" s="371">
        <f>'MTRT 2015'!K16</f>
        <v>13118.15</v>
      </c>
      <c r="L8" s="371">
        <f>'MTRT 2015'!L16</f>
        <v>21494.98</v>
      </c>
      <c r="M8" s="371">
        <f>'MTRT 2015'!M16</f>
        <v>3980</v>
      </c>
      <c r="N8" s="542">
        <f t="shared" si="0"/>
        <v>92457.869999999981</v>
      </c>
      <c r="O8" s="444">
        <f>SUM('TRT 2014'!B8:M8)</f>
        <v>83446.239999999976</v>
      </c>
      <c r="P8" s="589">
        <f t="shared" si="1"/>
        <v>0.10799324211612182</v>
      </c>
      <c r="Q8" s="629">
        <f t="shared" si="2"/>
        <v>1.8304768452677544E-3</v>
      </c>
    </row>
    <row r="9" spans="1:17">
      <c r="A9" s="484" t="s">
        <v>22</v>
      </c>
      <c r="B9" s="371">
        <f>'MTRT 2015'!B17</f>
        <v>57582.11</v>
      </c>
      <c r="C9" s="371">
        <f>'MTRT 2015'!C17</f>
        <v>92611.77</v>
      </c>
      <c r="D9" s="371">
        <f>'MTRT 2015'!D17</f>
        <v>81993.320000000007</v>
      </c>
      <c r="E9" s="371">
        <f>'MTRT 2015'!E17</f>
        <v>106946.07</v>
      </c>
      <c r="F9" s="371">
        <f>'MTRT 2015'!F17</f>
        <v>115168.04</v>
      </c>
      <c r="G9" s="371">
        <f>'MTRT 2015'!G17</f>
        <v>106738.94</v>
      </c>
      <c r="H9" s="371">
        <f>'MTRT 2015'!H17</f>
        <v>131891.04</v>
      </c>
      <c r="I9" s="371">
        <f>'MTRT 2015'!I17</f>
        <v>162261.29999999999</v>
      </c>
      <c r="J9" s="371">
        <f>'MTRT 2015'!J17</f>
        <v>208173.04</v>
      </c>
      <c r="K9" s="371">
        <f>'MTRT 2015'!K17</f>
        <v>158367.94</v>
      </c>
      <c r="L9" s="371">
        <f>'MTRT 2015'!L17</f>
        <v>112951</v>
      </c>
      <c r="M9" s="371">
        <f>'MTRT 2015'!M17</f>
        <v>121325</v>
      </c>
      <c r="N9" s="542">
        <f t="shared" si="0"/>
        <v>1456009.57</v>
      </c>
      <c r="O9" s="444">
        <f>SUM('TRT 2014'!B9:M9)</f>
        <v>1312382.9400000002</v>
      </c>
      <c r="P9" s="589">
        <f t="shared" si="1"/>
        <v>0.10943957409260441</v>
      </c>
      <c r="Q9" s="629">
        <f t="shared" si="2"/>
        <v>2.8826013452108081E-2</v>
      </c>
    </row>
    <row r="10" spans="1:17">
      <c r="A10" s="484" t="s">
        <v>23</v>
      </c>
      <c r="B10" s="371">
        <f>'MTRT 2015'!B25</f>
        <v>3215.04</v>
      </c>
      <c r="C10" s="371">
        <f>'MTRT 2015'!C25</f>
        <v>12224.39</v>
      </c>
      <c r="D10" s="371">
        <f>'MTRT 2015'!D25</f>
        <v>2876.63</v>
      </c>
      <c r="E10" s="371">
        <f>'MTRT 2015'!E25</f>
        <v>2651.04</v>
      </c>
      <c r="F10" s="371">
        <f>'MTRT 2015'!F25</f>
        <v>11975.03</v>
      </c>
      <c r="G10" s="371">
        <f>'MTRT 2015'!G25</f>
        <v>4423.1899999999996</v>
      </c>
      <c r="H10" s="371">
        <f>'MTRT 2015'!H25</f>
        <v>5044.3100000000004</v>
      </c>
      <c r="I10" s="371">
        <f>'MTRT 2015'!I25</f>
        <v>11432.16</v>
      </c>
      <c r="J10" s="371">
        <f>'MTRT 2015'!J25</f>
        <v>5188.2</v>
      </c>
      <c r="K10" s="371">
        <f>'MTRT 2015'!K25</f>
        <v>11437.7</v>
      </c>
      <c r="L10" s="371">
        <f>'MTRT 2015'!L25</f>
        <v>8097.88</v>
      </c>
      <c r="M10" s="371">
        <f>'MTRT 2015'!M25</f>
        <v>3122</v>
      </c>
      <c r="N10" s="542">
        <f t="shared" si="0"/>
        <v>81687.570000000007</v>
      </c>
      <c r="O10" s="444">
        <f>SUM('TRT 2014'!B10:M10)</f>
        <v>101543</v>
      </c>
      <c r="P10" s="589">
        <f t="shared" si="1"/>
        <v>-0.19553716159656498</v>
      </c>
      <c r="Q10" s="629">
        <f t="shared" si="2"/>
        <v>1.6172469193935454E-3</v>
      </c>
    </row>
    <row r="11" spans="1:17">
      <c r="A11" s="484" t="s">
        <v>51</v>
      </c>
      <c r="B11" s="371">
        <f>'MTRT 2015'!B27</f>
        <v>13145.95</v>
      </c>
      <c r="C11" s="371">
        <f>'MTRT 2015'!C27</f>
        <v>18347.43</v>
      </c>
      <c r="D11" s="371">
        <f>'MTRT 2015'!D27</f>
        <v>9597.61</v>
      </c>
      <c r="E11" s="371">
        <f>'MTRT 2015'!E27</f>
        <v>5764.11</v>
      </c>
      <c r="F11" s="371">
        <f>'MTRT 2015'!F27</f>
        <v>30522.07</v>
      </c>
      <c r="G11" s="371">
        <f>'MTRT 2015'!G27</f>
        <v>40122.53</v>
      </c>
      <c r="H11" s="371">
        <f>'MTRT 2015'!H27</f>
        <v>40491.35</v>
      </c>
      <c r="I11" s="371">
        <f>'MTRT 2015'!I27</f>
        <v>67815.710000000006</v>
      </c>
      <c r="J11" s="371">
        <f>'MTRT 2015'!J27</f>
        <v>38850.839999999997</v>
      </c>
      <c r="K11" s="371">
        <f>'MTRT 2015'!K27</f>
        <v>32883.54</v>
      </c>
      <c r="L11" s="371">
        <f>'MTRT 2015'!L27</f>
        <v>67112.83</v>
      </c>
      <c r="M11" s="371">
        <f>'MTRT 2015'!M27</f>
        <v>29369</v>
      </c>
      <c r="N11" s="542">
        <f t="shared" si="0"/>
        <v>394022.97</v>
      </c>
      <c r="O11" s="444">
        <f>SUM('TRT 2014'!B11:M11)</f>
        <v>358481.78899999999</v>
      </c>
      <c r="P11" s="589">
        <f t="shared" si="1"/>
        <v>9.9143616469733686E-2</v>
      </c>
      <c r="Q11" s="629">
        <f t="shared" si="2"/>
        <v>7.8008494364907076E-3</v>
      </c>
    </row>
    <row r="12" spans="1:17">
      <c r="A12" s="484" t="s">
        <v>24</v>
      </c>
      <c r="B12" s="371">
        <f>'MTRT 2015'!B29</f>
        <v>44718.52</v>
      </c>
      <c r="C12" s="371">
        <f>'MTRT 2015'!C29</f>
        <v>44582.82</v>
      </c>
      <c r="D12" s="371">
        <f>'MTRT 2015'!D29</f>
        <v>16463.560000000001</v>
      </c>
      <c r="E12" s="371">
        <f>'MTRT 2015'!E29</f>
        <v>28262.880000000001</v>
      </c>
      <c r="F12" s="371">
        <f>'MTRT 2015'!F29</f>
        <v>68304.09</v>
      </c>
      <c r="G12" s="371">
        <f>'MTRT 2015'!G29</f>
        <v>110763.99</v>
      </c>
      <c r="H12" s="371">
        <f>'MTRT 2015'!H29</f>
        <v>177868.98</v>
      </c>
      <c r="I12" s="371">
        <f>'MTRT 2015'!I29</f>
        <v>288224.18</v>
      </c>
      <c r="J12" s="371">
        <f>'MTRT 2015'!J29</f>
        <v>199896.86</v>
      </c>
      <c r="K12" s="371">
        <f>'MTRT 2015'!K29</f>
        <v>212808.02</v>
      </c>
      <c r="L12" s="371">
        <f>'MTRT 2015'!L29</f>
        <v>308598.2</v>
      </c>
      <c r="M12" s="371">
        <f>'MTRT 2015'!M29</f>
        <v>137058</v>
      </c>
      <c r="N12" s="542">
        <f t="shared" si="0"/>
        <v>1637550.0999999999</v>
      </c>
      <c r="O12" s="444">
        <f>SUM('TRT 2014'!B12:M12)</f>
        <v>1439425.5399999998</v>
      </c>
      <c r="P12" s="589">
        <f t="shared" si="1"/>
        <v>0.13764140936390512</v>
      </c>
      <c r="Q12" s="629">
        <f t="shared" si="2"/>
        <v>3.2420144883457687E-2</v>
      </c>
    </row>
    <row r="13" spans="1:17">
      <c r="A13" s="484" t="s">
        <v>25</v>
      </c>
      <c r="B13" s="371">
        <f>'MTRT 2015'!B31</f>
        <v>121632.88</v>
      </c>
      <c r="C13" s="371">
        <f>'MTRT 2015'!C31</f>
        <v>117815.94</v>
      </c>
      <c r="D13" s="371">
        <f>'MTRT 2015'!D31</f>
        <v>42317.88</v>
      </c>
      <c r="E13" s="371">
        <f>'MTRT 2015'!E31</f>
        <v>92312.47</v>
      </c>
      <c r="F13" s="371">
        <f>'MTRT 2015'!F31</f>
        <v>326566.58</v>
      </c>
      <c r="G13" s="371">
        <f>'MTRT 2015'!G31</f>
        <v>402512.7</v>
      </c>
      <c r="H13" s="371">
        <f>'MTRT 2015'!H31</f>
        <v>517998.45</v>
      </c>
      <c r="I13" s="371">
        <f>'MTRT 2015'!I31</f>
        <v>514661.73</v>
      </c>
      <c r="J13" s="371">
        <f>'MTRT 2015'!J31</f>
        <v>436247.74</v>
      </c>
      <c r="K13" s="371">
        <f>'MTRT 2015'!K31</f>
        <v>413496.76</v>
      </c>
      <c r="L13" s="371">
        <f>'MTRT 2015'!L31</f>
        <v>567202.06999999995</v>
      </c>
      <c r="M13" s="371">
        <f>'MTRT 2015'!M31</f>
        <v>345908</v>
      </c>
      <c r="N13" s="542">
        <f t="shared" si="0"/>
        <v>3898673.1999999997</v>
      </c>
      <c r="O13" s="444">
        <f>SUM('TRT 2014'!B13:M13)</f>
        <v>3383729.83</v>
      </c>
      <c r="P13" s="589">
        <f t="shared" si="1"/>
        <v>0.15218217643575871</v>
      </c>
      <c r="Q13" s="629">
        <f t="shared" si="2"/>
        <v>7.7185760604975451E-2</v>
      </c>
    </row>
    <row r="14" spans="1:17">
      <c r="A14" s="484" t="s">
        <v>26</v>
      </c>
      <c r="B14" s="371">
        <f>'MTRT 2015'!B33</f>
        <v>39227.67</v>
      </c>
      <c r="C14" s="371">
        <f>'MTRT 2015'!C33</f>
        <v>81869.039999999994</v>
      </c>
      <c r="D14" s="371">
        <f>'MTRT 2015'!D33</f>
        <v>54602.44</v>
      </c>
      <c r="E14" s="371">
        <f>'MTRT 2015'!E33</f>
        <v>71450.320000000007</v>
      </c>
      <c r="F14" s="371">
        <f>'MTRT 2015'!F33</f>
        <v>79299.63</v>
      </c>
      <c r="G14" s="371">
        <f>'MTRT 2015'!G33</f>
        <v>101688.84</v>
      </c>
      <c r="H14" s="371">
        <f>'MTRT 2015'!H33</f>
        <v>89402.74</v>
      </c>
      <c r="I14" s="371">
        <f>'MTRT 2015'!I33</f>
        <v>135737.04</v>
      </c>
      <c r="J14" s="371">
        <f>'MTRT 2015'!J33</f>
        <v>141667.32999999999</v>
      </c>
      <c r="K14" s="371">
        <f>'MTRT 2015'!K33</f>
        <v>115785.86</v>
      </c>
      <c r="L14" s="371">
        <f>'MTRT 2015'!L33</f>
        <v>122482</v>
      </c>
      <c r="M14" s="371">
        <f>'MTRT 2015'!M33</f>
        <v>94268</v>
      </c>
      <c r="N14" s="542">
        <f t="shared" si="0"/>
        <v>1127480.9099999999</v>
      </c>
      <c r="O14" s="444">
        <f>SUM('TRT 2014'!B14:M14)</f>
        <v>1042699.3499999999</v>
      </c>
      <c r="P14" s="589">
        <f t="shared" si="1"/>
        <v>8.1309689125633522E-2</v>
      </c>
      <c r="Q14" s="629">
        <f t="shared" si="2"/>
        <v>2.2321817485481951E-2</v>
      </c>
    </row>
    <row r="15" spans="1:17">
      <c r="A15" s="484" t="s">
        <v>27</v>
      </c>
      <c r="B15" s="371">
        <f>'MTRT 2015'!B36</f>
        <v>1921.44</v>
      </c>
      <c r="C15" s="371">
        <f>'MTRT 2015'!C36</f>
        <v>9643.19</v>
      </c>
      <c r="D15" s="371">
        <f>'MTRT 2015'!D36</f>
        <v>3931.91</v>
      </c>
      <c r="E15" s="371">
        <f>'MTRT 2015'!E36</f>
        <v>2214.7399999999998</v>
      </c>
      <c r="F15" s="371">
        <f>'MTRT 2015'!F36</f>
        <v>10571.8</v>
      </c>
      <c r="G15" s="371">
        <f>'MTRT 2015'!G36</f>
        <v>5762.78</v>
      </c>
      <c r="H15" s="371">
        <f>'MTRT 2015'!H36</f>
        <v>3758.34</v>
      </c>
      <c r="I15" s="371">
        <f>'MTRT 2015'!I36</f>
        <v>17857.89</v>
      </c>
      <c r="J15" s="371">
        <f>'MTRT 2015'!J36</f>
        <v>3190.89</v>
      </c>
      <c r="K15" s="371">
        <f>'MTRT 2015'!K36</f>
        <v>5521.92</v>
      </c>
      <c r="L15" s="371">
        <f>'MTRT 2015'!L36</f>
        <v>19598.53</v>
      </c>
      <c r="M15" s="371">
        <f>'MTRT 2015'!M36</f>
        <v>2811</v>
      </c>
      <c r="N15" s="542">
        <f t="shared" si="0"/>
        <v>86784.43</v>
      </c>
      <c r="O15" s="444">
        <f>SUM('TRT 2014'!B15:M15)</f>
        <v>86481.069999999992</v>
      </c>
      <c r="P15" s="589">
        <f t="shared" si="1"/>
        <v>3.5078196881699331E-3</v>
      </c>
      <c r="Q15" s="629">
        <f t="shared" si="2"/>
        <v>1.7181543295855754E-3</v>
      </c>
    </row>
    <row r="16" spans="1:17">
      <c r="A16" s="484" t="s">
        <v>28</v>
      </c>
      <c r="B16" s="371">
        <f>'MTRT 2015'!B38</f>
        <v>54563.25</v>
      </c>
      <c r="C16" s="371">
        <f>'MTRT 2015'!C38</f>
        <v>74727.789999999994</v>
      </c>
      <c r="D16" s="371">
        <f>'MTRT 2015'!D38</f>
        <v>40354.36</v>
      </c>
      <c r="E16" s="371">
        <f>'MTRT 2015'!E38</f>
        <v>85530.76</v>
      </c>
      <c r="F16" s="371">
        <f>'MTRT 2015'!F38</f>
        <v>131149.73000000001</v>
      </c>
      <c r="G16" s="371">
        <f>'MTRT 2015'!G38</f>
        <v>158362.16</v>
      </c>
      <c r="H16" s="371">
        <f>'MTRT 2015'!H38</f>
        <v>179419.53</v>
      </c>
      <c r="I16" s="371">
        <f>'MTRT 2015'!I38</f>
        <v>274363.46999999997</v>
      </c>
      <c r="J16" s="371">
        <f>'MTRT 2015'!J38</f>
        <v>218980.86</v>
      </c>
      <c r="K16" s="371">
        <f>'MTRT 2015'!K38</f>
        <v>225697.59</v>
      </c>
      <c r="L16" s="371">
        <f>'MTRT 2015'!L38</f>
        <v>310198</v>
      </c>
      <c r="M16" s="371">
        <f>'MTRT 2015'!M38</f>
        <v>143090</v>
      </c>
      <c r="N16" s="542">
        <f t="shared" si="0"/>
        <v>1896437.5000000002</v>
      </c>
      <c r="O16" s="444">
        <f>SUM('TRT 2014'!B16:M16)</f>
        <v>1697847.34</v>
      </c>
      <c r="P16" s="589">
        <f t="shared" si="1"/>
        <v>0.11696585159417228</v>
      </c>
      <c r="Q16" s="629">
        <f t="shared" si="2"/>
        <v>3.7545586246443573E-2</v>
      </c>
    </row>
    <row r="17" spans="1:17">
      <c r="A17" s="484" t="s">
        <v>52</v>
      </c>
      <c r="B17" s="371">
        <f>'MTRT 2015'!B41</f>
        <v>5552.83</v>
      </c>
      <c r="C17" s="371">
        <f>'MTRT 2015'!C41</f>
        <v>6696.29</v>
      </c>
      <c r="D17" s="371">
        <f>'MTRT 2015'!D41</f>
        <v>5364.34</v>
      </c>
      <c r="E17" s="371">
        <f>'MTRT 2015'!E41</f>
        <v>6574.01</v>
      </c>
      <c r="F17" s="371">
        <f>'MTRT 2015'!F41</f>
        <v>11488.67</v>
      </c>
      <c r="G17" s="371">
        <f>'MTRT 2015'!G41</f>
        <v>11473</v>
      </c>
      <c r="H17" s="371">
        <f>'MTRT 2015'!H41</f>
        <v>10152.75</v>
      </c>
      <c r="I17" s="371">
        <f>'MTRT 2015'!I41</f>
        <v>19172.439999999999</v>
      </c>
      <c r="J17" s="371">
        <f>'MTRT 2015'!J41</f>
        <v>12659.55</v>
      </c>
      <c r="K17" s="371">
        <f>'MTRT 2015'!K41</f>
        <v>11537.32</v>
      </c>
      <c r="L17" s="371">
        <f>'MTRT 2015'!L41</f>
        <v>18986</v>
      </c>
      <c r="M17" s="371">
        <f>'MTRT 2015'!M41</f>
        <v>9016</v>
      </c>
      <c r="N17" s="542">
        <f t="shared" si="0"/>
        <v>128673.20000000001</v>
      </c>
      <c r="O17" s="444">
        <f>SUM('TRT 2014'!B17:M17)</f>
        <v>115272.69</v>
      </c>
      <c r="P17" s="589">
        <f t="shared" si="1"/>
        <v>0.11625051866144531</v>
      </c>
      <c r="Q17" s="629">
        <f t="shared" si="2"/>
        <v>2.5474663563686559E-3</v>
      </c>
    </row>
    <row r="18" spans="1:17">
      <c r="A18" s="484" t="s">
        <v>29</v>
      </c>
      <c r="B18" s="371">
        <f>'MTRT 2015'!B44</f>
        <v>85.86</v>
      </c>
      <c r="C18" s="371">
        <f>'MTRT 2015'!C44</f>
        <v>517.04</v>
      </c>
      <c r="D18" s="371">
        <f>'MTRT 2015'!D44</f>
        <v>95.9</v>
      </c>
      <c r="E18" s="371">
        <f>'MTRT 2015'!E44</f>
        <v>117.71</v>
      </c>
      <c r="F18" s="371">
        <f>'MTRT 2015'!F44</f>
        <v>113.84</v>
      </c>
      <c r="G18" s="371">
        <f>'MTRT 2015'!G44</f>
        <v>841.24</v>
      </c>
      <c r="H18" s="371">
        <f>'MTRT 2015'!H44</f>
        <v>746.86</v>
      </c>
      <c r="I18" s="371">
        <f>'MTRT 2015'!I44</f>
        <v>374.77</v>
      </c>
      <c r="J18" s="371">
        <f>'MTRT 2015'!J44</f>
        <v>133.72</v>
      </c>
      <c r="K18" s="371">
        <f>'MTRT 2015'!K44</f>
        <v>1145.0899999999999</v>
      </c>
      <c r="L18" s="371">
        <f>'MTRT 2015'!L44</f>
        <v>713.85</v>
      </c>
      <c r="M18" s="371">
        <f>'MTRT 2015'!M44</f>
        <v>440</v>
      </c>
      <c r="N18" s="542">
        <f t="shared" si="0"/>
        <v>5325.88</v>
      </c>
      <c r="O18" s="444">
        <f>SUM('TRT 2014'!B18:M18)</f>
        <v>5212.18</v>
      </c>
      <c r="P18" s="589">
        <f t="shared" si="1"/>
        <v>2.1814288838835072E-2</v>
      </c>
      <c r="Q18" s="629">
        <f t="shared" si="2"/>
        <v>1.0544153808296287E-4</v>
      </c>
    </row>
    <row r="19" spans="1:17">
      <c r="A19" s="484" t="s">
        <v>53</v>
      </c>
      <c r="B19" s="371">
        <f>'MTRT 2015'!B45</f>
        <v>754.04</v>
      </c>
      <c r="C19" s="371">
        <f>'MTRT 2015'!C45</f>
        <v>1977.83</v>
      </c>
      <c r="D19" s="371">
        <f>'MTRT 2015'!D45</f>
        <v>4.8499999999999996</v>
      </c>
      <c r="E19" s="371">
        <f>'MTRT 2015'!E45</f>
        <v>108.53</v>
      </c>
      <c r="F19" s="371">
        <f>'MTRT 2015'!F45</f>
        <v>442.05</v>
      </c>
      <c r="G19" s="371">
        <f>'MTRT 2015'!G45</f>
        <v>610.51</v>
      </c>
      <c r="H19" s="371">
        <f>'MTRT 2015'!H45</f>
        <v>2039.96</v>
      </c>
      <c r="I19" s="371">
        <f>'MTRT 2015'!I45</f>
        <v>4631.12</v>
      </c>
      <c r="J19" s="371">
        <f>'MTRT 2015'!J45</f>
        <v>88.86</v>
      </c>
      <c r="K19" s="371">
        <f>'MTRT 2015'!K45</f>
        <v>3788.05</v>
      </c>
      <c r="L19" s="371">
        <f>'MTRT 2015'!L45</f>
        <v>10292.879999999999</v>
      </c>
      <c r="M19" s="371">
        <f>'MTRT 2015'!M45</f>
        <v>296</v>
      </c>
      <c r="N19" s="542">
        <f t="shared" si="0"/>
        <v>25034.68</v>
      </c>
      <c r="O19" s="444">
        <f>SUM('TRT 2014'!B19:M19)</f>
        <v>24098.309999999998</v>
      </c>
      <c r="P19" s="589">
        <f t="shared" si="1"/>
        <v>3.8856251745454484E-2</v>
      </c>
      <c r="Q19" s="629">
        <f t="shared" si="2"/>
        <v>4.9563549396809323E-4</v>
      </c>
    </row>
    <row r="20" spans="1:17">
      <c r="A20" s="484" t="s">
        <v>30</v>
      </c>
      <c r="B20" s="371">
        <f>'MTRT 2015'!B46</f>
        <v>4197.8999999999996</v>
      </c>
      <c r="C20" s="371">
        <f>'MTRT 2015'!C46</f>
        <v>6951.35</v>
      </c>
      <c r="D20" s="371">
        <f>'MTRT 2015'!D46</f>
        <v>187.1</v>
      </c>
      <c r="E20" s="371">
        <f>'MTRT 2015'!E46</f>
        <v>2045.88</v>
      </c>
      <c r="F20" s="371">
        <f>'MTRT 2015'!F46</f>
        <v>5407.68</v>
      </c>
      <c r="G20" s="371">
        <f>'MTRT 2015'!G46</f>
        <v>3275.82</v>
      </c>
      <c r="H20" s="371">
        <f>'MTRT 2015'!H46</f>
        <v>8569.32</v>
      </c>
      <c r="I20" s="371">
        <f>'MTRT 2015'!I46</f>
        <v>34388.080000000002</v>
      </c>
      <c r="J20" s="371">
        <f>'MTRT 2015'!J46</f>
        <v>33921.03</v>
      </c>
      <c r="K20" s="371">
        <f>'MTRT 2015'!K46</f>
        <v>39164.1</v>
      </c>
      <c r="L20" s="371">
        <f>'MTRT 2015'!L46</f>
        <v>59238</v>
      </c>
      <c r="M20" s="371">
        <f>'MTRT 2015'!M46</f>
        <v>12533</v>
      </c>
      <c r="N20" s="542">
        <f t="shared" si="0"/>
        <v>209879.26</v>
      </c>
      <c r="O20" s="444">
        <f>SUM('TRT 2014'!B20:M20)</f>
        <v>174915.89</v>
      </c>
      <c r="P20" s="589">
        <f t="shared" si="1"/>
        <v>0.19988675700075054</v>
      </c>
      <c r="Q20" s="629">
        <f t="shared" si="2"/>
        <v>4.1551803619522152E-3</v>
      </c>
    </row>
    <row r="21" spans="1:17">
      <c r="A21" s="484" t="s">
        <v>31</v>
      </c>
      <c r="B21" s="371">
        <f>'MTRT 2015'!B47</f>
        <v>842743.41</v>
      </c>
      <c r="C21" s="371">
        <f>'MTRT 2015'!C47</f>
        <v>1149541.8799999999</v>
      </c>
      <c r="D21" s="371">
        <f>'MTRT 2015'!D47</f>
        <v>1379327</v>
      </c>
      <c r="E21" s="371">
        <f>'MTRT 2015'!E47</f>
        <v>1425318.73</v>
      </c>
      <c r="F21" s="371">
        <f>'MTRT 2015'!F47</f>
        <v>1748051.12</v>
      </c>
      <c r="G21" s="371">
        <f>'MTRT 2015'!G47</f>
        <v>1195041.33</v>
      </c>
      <c r="H21" s="371">
        <f>'MTRT 2015'!H47</f>
        <v>1219977.6499999999</v>
      </c>
      <c r="I21" s="371">
        <f>'MTRT 2015'!I47</f>
        <v>1462633.72</v>
      </c>
      <c r="J21" s="371">
        <f>'MTRT 2015'!J47</f>
        <v>1563505.05</v>
      </c>
      <c r="K21" s="371">
        <f>'MTRT 2015'!K47</f>
        <v>1575577.94</v>
      </c>
      <c r="L21" s="371">
        <f>'MTRT 2015'!L47</f>
        <v>1534120</v>
      </c>
      <c r="M21" s="371">
        <f>'MTRT 2015'!M47</f>
        <v>1375615</v>
      </c>
      <c r="N21" s="542">
        <f t="shared" si="0"/>
        <v>16471452.83</v>
      </c>
      <c r="O21" s="444">
        <f>SUM('TRT 2014'!B21:M21)</f>
        <v>14358053.969999999</v>
      </c>
      <c r="P21" s="589">
        <f t="shared" si="1"/>
        <v>0.14719256971841577</v>
      </c>
      <c r="Q21" s="629">
        <f t="shared" si="2"/>
        <v>0.32610109894630962</v>
      </c>
    </row>
    <row r="22" spans="1:17">
      <c r="A22" s="484" t="s">
        <v>45</v>
      </c>
      <c r="B22" s="371">
        <f>'MTRT 2015'!B59</f>
        <v>21611.46</v>
      </c>
      <c r="C22" s="371">
        <f>'MTRT 2015'!C59</f>
        <v>26707.07</v>
      </c>
      <c r="D22" s="371">
        <f>'MTRT 2015'!D59</f>
        <v>8570.69</v>
      </c>
      <c r="E22" s="371">
        <f>'MTRT 2015'!E59</f>
        <v>21749.07</v>
      </c>
      <c r="F22" s="371">
        <f>'MTRT 2015'!F59</f>
        <v>40040.79</v>
      </c>
      <c r="G22" s="371">
        <f>'MTRT 2015'!G59</f>
        <v>50586.06</v>
      </c>
      <c r="H22" s="371">
        <f>'MTRT 2015'!H59</f>
        <v>73751.289999999994</v>
      </c>
      <c r="I22" s="371">
        <f>'MTRT 2015'!I59</f>
        <v>106949.72</v>
      </c>
      <c r="J22" s="371">
        <f>'MTRT 2015'!J59</f>
        <v>77920.240000000005</v>
      </c>
      <c r="K22" s="371">
        <f>'MTRT 2015'!K59</f>
        <v>98669.73</v>
      </c>
      <c r="L22" s="371">
        <f>'MTRT 2015'!L59</f>
        <v>106135.48</v>
      </c>
      <c r="M22" s="371">
        <f>'MTRT 2015'!M59</f>
        <v>41697</v>
      </c>
      <c r="N22" s="542">
        <f t="shared" si="0"/>
        <v>674388.6</v>
      </c>
      <c r="O22" s="444">
        <f>SUM('TRT 2014'!B22:M22)</f>
        <v>619004.25</v>
      </c>
      <c r="P22" s="589">
        <f t="shared" si="1"/>
        <v>8.947329521566294E-2</v>
      </c>
      <c r="Q22" s="629">
        <f t="shared" si="2"/>
        <v>1.335151585270716E-2</v>
      </c>
    </row>
    <row r="23" spans="1:17">
      <c r="A23" s="484" t="s">
        <v>32</v>
      </c>
      <c r="B23" s="371">
        <f>'MTRT 2015'!B62</f>
        <v>1615.67</v>
      </c>
      <c r="C23" s="371">
        <f>'MTRT 2015'!C62</f>
        <v>13891.53</v>
      </c>
      <c r="D23" s="371">
        <f>'MTRT 2015'!D62</f>
        <v>4080.65</v>
      </c>
      <c r="E23" s="371">
        <f>'MTRT 2015'!E62</f>
        <v>3455.5</v>
      </c>
      <c r="F23" s="371">
        <f>'MTRT 2015'!F62</f>
        <v>13754.77</v>
      </c>
      <c r="G23" s="371">
        <f>'MTRT 2015'!G62</f>
        <v>5381.3</v>
      </c>
      <c r="H23" s="371">
        <f>'MTRT 2015'!H62</f>
        <v>11912.83</v>
      </c>
      <c r="I23" s="371">
        <f>'MTRT 2015'!I62</f>
        <v>16066.96</v>
      </c>
      <c r="J23" s="371">
        <f>'MTRT 2015'!J62</f>
        <v>6483.5</v>
      </c>
      <c r="K23" s="371">
        <f>'MTRT 2015'!K62</f>
        <v>7075.09</v>
      </c>
      <c r="L23" s="371">
        <f>'MTRT 2015'!L62</f>
        <v>19043.849999999999</v>
      </c>
      <c r="M23" s="371">
        <f>'MTRT 2015'!M62</f>
        <v>5549</v>
      </c>
      <c r="N23" s="542">
        <f t="shared" si="0"/>
        <v>108310.65</v>
      </c>
      <c r="O23" s="444">
        <f>SUM('TRT 2014'!B23:M23)</f>
        <v>86590.47</v>
      </c>
      <c r="P23" s="589">
        <f t="shared" si="1"/>
        <v>0.25083799637535154</v>
      </c>
      <c r="Q23" s="629">
        <f t="shared" si="2"/>
        <v>2.1443294867262239E-3</v>
      </c>
    </row>
    <row r="24" spans="1:17">
      <c r="A24" s="484" t="s">
        <v>33</v>
      </c>
      <c r="B24" s="371">
        <f>'MTRT 2015'!B63</f>
        <v>21397.59</v>
      </c>
      <c r="C24" s="371">
        <f>'MTRT 2015'!C63</f>
        <v>27612.98</v>
      </c>
      <c r="D24" s="371">
        <f>'MTRT 2015'!D63</f>
        <v>36581.379999999997</v>
      </c>
      <c r="E24" s="371">
        <f>'MTRT 2015'!E63</f>
        <v>17599.310000000001</v>
      </c>
      <c r="F24" s="371">
        <f>'MTRT 2015'!F63</f>
        <v>36561.47</v>
      </c>
      <c r="G24" s="371">
        <f>'MTRT 2015'!G63</f>
        <v>35336.01</v>
      </c>
      <c r="H24" s="371">
        <f>'MTRT 2015'!H63</f>
        <v>49818.58</v>
      </c>
      <c r="I24" s="371">
        <f>'MTRT 2015'!I63</f>
        <v>71095.399999999994</v>
      </c>
      <c r="J24" s="371">
        <f>'MTRT 2015'!J63</f>
        <v>58112.160000000003</v>
      </c>
      <c r="K24" s="371">
        <f>'MTRT 2015'!K63</f>
        <v>57450.74</v>
      </c>
      <c r="L24" s="371">
        <f>'MTRT 2015'!L63</f>
        <v>63024.05</v>
      </c>
      <c r="M24" s="371">
        <f>'MTRT 2015'!M63</f>
        <v>36304</v>
      </c>
      <c r="N24" s="542">
        <f t="shared" si="0"/>
        <v>510893.67</v>
      </c>
      <c r="O24" s="444">
        <f>SUM('TRT 2014'!B24:M24)</f>
        <v>439069.67000000004</v>
      </c>
      <c r="P24" s="589">
        <f t="shared" si="1"/>
        <v>0.16358223969330421</v>
      </c>
      <c r="Q24" s="629">
        <f t="shared" si="2"/>
        <v>1.0114650416766742E-2</v>
      </c>
    </row>
    <row r="25" spans="1:17">
      <c r="A25" s="484" t="s">
        <v>34</v>
      </c>
      <c r="B25" s="371">
        <f>'MTRT 2015'!B66</f>
        <v>315515.78999999998</v>
      </c>
      <c r="C25" s="371">
        <f>'MTRT 2015'!C66</f>
        <v>1170324.04</v>
      </c>
      <c r="D25" s="371">
        <f>'MTRT 2015'!D66</f>
        <v>1452316.24</v>
      </c>
      <c r="E25" s="371">
        <f>'MTRT 2015'!E66</f>
        <v>1087295.6399999999</v>
      </c>
      <c r="F25" s="371">
        <f>'MTRT 2015'!F66</f>
        <v>1380847.36</v>
      </c>
      <c r="G25" s="371">
        <f>'MTRT 2015'!G66</f>
        <v>219290.71</v>
      </c>
      <c r="H25" s="371">
        <f>'MTRT 2015'!H66</f>
        <v>186934.73</v>
      </c>
      <c r="I25" s="371">
        <f>'MTRT 2015'!I66</f>
        <v>379368.66</v>
      </c>
      <c r="J25" s="371">
        <f>'MTRT 2015'!J66</f>
        <v>442840.81</v>
      </c>
      <c r="K25" s="371">
        <f>'MTRT 2015'!K66</f>
        <v>404564.3</v>
      </c>
      <c r="L25" s="371">
        <f>'MTRT 2015'!L66</f>
        <v>355082.21</v>
      </c>
      <c r="M25" s="371">
        <f>'MTRT 2015'!M66</f>
        <v>321632</v>
      </c>
      <c r="N25" s="542">
        <f t="shared" si="0"/>
        <v>7716012.4900000002</v>
      </c>
      <c r="O25" s="444">
        <f>SUM('TRT 2014'!B25:M25)</f>
        <v>6835914.2800000012</v>
      </c>
      <c r="P25" s="589">
        <f t="shared" si="1"/>
        <v>0.1287462326107458</v>
      </c>
      <c r="Q25" s="629">
        <f t="shared" si="2"/>
        <v>0.1527612760356884</v>
      </c>
    </row>
    <row r="26" spans="1:17">
      <c r="A26" s="484" t="s">
        <v>35</v>
      </c>
      <c r="B26" s="371">
        <f>'MTRT 2015'!B67</f>
        <v>18138.689999999999</v>
      </c>
      <c r="C26" s="371">
        <f>'MTRT 2015'!C67</f>
        <v>17862.41</v>
      </c>
      <c r="D26" s="371">
        <f>'MTRT 2015'!D67</f>
        <v>26285.22</v>
      </c>
      <c r="E26" s="371">
        <f>'MTRT 2015'!E67</f>
        <v>16752.75</v>
      </c>
      <c r="F26" s="371">
        <f>'MTRT 2015'!F67</f>
        <v>32963.78</v>
      </c>
      <c r="G26" s="371">
        <f>'MTRT 2015'!G67</f>
        <v>30923.93</v>
      </c>
      <c r="H26" s="371">
        <f>'MTRT 2015'!H67</f>
        <v>39729.71</v>
      </c>
      <c r="I26" s="371">
        <f>'MTRT 2015'!I67</f>
        <v>42077.8</v>
      </c>
      <c r="J26" s="371">
        <f>'MTRT 2015'!J67</f>
        <v>40564.339999999997</v>
      </c>
      <c r="K26" s="371">
        <f>'MTRT 2015'!K67</f>
        <v>41032.25</v>
      </c>
      <c r="L26" s="371">
        <f>'MTRT 2015'!L67</f>
        <v>37232.01</v>
      </c>
      <c r="M26" s="371">
        <f>'MTRT 2015'!M67</f>
        <v>34159</v>
      </c>
      <c r="N26" s="542">
        <f t="shared" si="0"/>
        <v>377721.89</v>
      </c>
      <c r="O26" s="444">
        <f>SUM('TRT 2014'!B26:M26)</f>
        <v>314284.2</v>
      </c>
      <c r="P26" s="589">
        <f t="shared" si="1"/>
        <v>0.20184816799571847</v>
      </c>
      <c r="Q26" s="629">
        <f t="shared" si="2"/>
        <v>7.4781213713421462E-3</v>
      </c>
    </row>
    <row r="27" spans="1:17">
      <c r="A27" s="484" t="s">
        <v>36</v>
      </c>
      <c r="B27" s="371">
        <f>'MTRT 2015'!B69</f>
        <v>56582.47</v>
      </c>
      <c r="C27" s="371">
        <f>'MTRT 2015'!C69</f>
        <v>52408.53</v>
      </c>
      <c r="D27" s="371">
        <f>'MTRT 2015'!D69</f>
        <v>48381.99</v>
      </c>
      <c r="E27" s="371">
        <f>'MTRT 2015'!E69</f>
        <v>30681.599999999999</v>
      </c>
      <c r="F27" s="371">
        <f>'MTRT 2015'!F69</f>
        <v>46183.21</v>
      </c>
      <c r="G27" s="371">
        <f>'MTRT 2015'!G69</f>
        <v>38701.800000000003</v>
      </c>
      <c r="H27" s="371">
        <f>'MTRT 2015'!H69</f>
        <v>51758.7</v>
      </c>
      <c r="I27" s="371">
        <f>'MTRT 2015'!I69</f>
        <v>73580.45</v>
      </c>
      <c r="J27" s="371">
        <f>'MTRT 2015'!J69</f>
        <v>66815.48</v>
      </c>
      <c r="K27" s="371">
        <f>'MTRT 2015'!K69</f>
        <v>49122.69</v>
      </c>
      <c r="L27" s="371">
        <f>'MTRT 2015'!L69</f>
        <v>69425.13</v>
      </c>
      <c r="M27" s="371">
        <f>'MTRT 2015'!M69</f>
        <v>40820</v>
      </c>
      <c r="N27" s="542">
        <f t="shared" si="0"/>
        <v>624462.05000000005</v>
      </c>
      <c r="O27" s="444">
        <f>SUM('TRT 2014'!B27:M27)</f>
        <v>831797.1100000001</v>
      </c>
      <c r="P27" s="589">
        <f t="shared" si="1"/>
        <v>-0.24926157774219726</v>
      </c>
      <c r="Q27" s="629">
        <f t="shared" si="2"/>
        <v>1.2363072210872206E-2</v>
      </c>
    </row>
    <row r="28" spans="1:17">
      <c r="A28" s="484" t="s">
        <v>37</v>
      </c>
      <c r="B28" s="371">
        <f>'MTRT 2015'!B73</f>
        <v>164887.51999999999</v>
      </c>
      <c r="C28" s="371">
        <f>'MTRT 2015'!C73</f>
        <v>201044.41</v>
      </c>
      <c r="D28" s="371">
        <f>'MTRT 2015'!D73</f>
        <v>198476.04</v>
      </c>
      <c r="E28" s="371">
        <f>'MTRT 2015'!E73</f>
        <v>156941.60999999999</v>
      </c>
      <c r="F28" s="371">
        <f>'MTRT 2015'!F73</f>
        <v>260110.93</v>
      </c>
      <c r="G28" s="371">
        <f>'MTRT 2015'!G73</f>
        <v>241672.62</v>
      </c>
      <c r="H28" s="371">
        <f>'MTRT 2015'!H73</f>
        <v>207646.22</v>
      </c>
      <c r="I28" s="371">
        <f>'MTRT 2015'!I73</f>
        <v>288402.46000000002</v>
      </c>
      <c r="J28" s="371">
        <f>'MTRT 2015'!J73</f>
        <v>339817.28</v>
      </c>
      <c r="K28" s="371">
        <f>'MTRT 2015'!K73</f>
        <v>291624.67</v>
      </c>
      <c r="L28" s="371">
        <f>'MTRT 2015'!L73</f>
        <v>314069.59999999998</v>
      </c>
      <c r="M28" s="371">
        <f>'MTRT 2015'!M73</f>
        <v>256619</v>
      </c>
      <c r="N28" s="542">
        <f t="shared" si="0"/>
        <v>2921312.36</v>
      </c>
      <c r="O28" s="444">
        <f>SUM('TRT 2014'!B28:M28)</f>
        <v>2482764.75</v>
      </c>
      <c r="P28" s="589">
        <f t="shared" si="1"/>
        <v>0.17663679573346602</v>
      </c>
      <c r="Q28" s="629">
        <f t="shared" si="2"/>
        <v>5.7836013665191498E-2</v>
      </c>
    </row>
    <row r="29" spans="1:17">
      <c r="A29" s="484" t="s">
        <v>38</v>
      </c>
      <c r="B29" s="371">
        <f>'MTRT 2015'!B80</f>
        <v>40003.82</v>
      </c>
      <c r="C29" s="371">
        <f>'MTRT 2015'!C80</f>
        <v>193909.59</v>
      </c>
      <c r="D29" s="371">
        <f>'MTRT 2015'!D80</f>
        <v>398160.07</v>
      </c>
      <c r="E29" s="371">
        <f>'MTRT 2015'!E80</f>
        <v>42661.84</v>
      </c>
      <c r="F29" s="371">
        <f>'MTRT 2015'!F80</f>
        <v>210535.82</v>
      </c>
      <c r="G29" s="371">
        <f>'MTRT 2015'!G80</f>
        <v>50093.8</v>
      </c>
      <c r="H29" s="371">
        <f>'MTRT 2015'!H80</f>
        <v>29508.34</v>
      </c>
      <c r="I29" s="371">
        <f>'MTRT 2015'!I80</f>
        <v>132262.07</v>
      </c>
      <c r="J29" s="371">
        <f>'MTRT 2015'!J80</f>
        <v>93890.78</v>
      </c>
      <c r="K29" s="371">
        <f>'MTRT 2015'!K80</f>
        <v>104006.21</v>
      </c>
      <c r="L29" s="371">
        <f>'MTRT 2015'!L80</f>
        <v>134596.07</v>
      </c>
      <c r="M29" s="371">
        <f>'MTRT 2015'!M80</f>
        <v>47595</v>
      </c>
      <c r="N29" s="542">
        <f t="shared" si="0"/>
        <v>1477223.41</v>
      </c>
      <c r="O29" s="444">
        <f>SUM('TRT 2014'!B29:M29)</f>
        <v>1382202.6199999999</v>
      </c>
      <c r="P29" s="589">
        <f t="shared" si="1"/>
        <v>6.8745919465845073E-2</v>
      </c>
      <c r="Q29" s="629">
        <f t="shared" si="2"/>
        <v>2.9246004123742789E-2</v>
      </c>
    </row>
    <row r="30" spans="1:17">
      <c r="A30" s="484" t="s">
        <v>39</v>
      </c>
      <c r="B30" s="371">
        <f>'MTRT 2015'!B83</f>
        <v>241168.11</v>
      </c>
      <c r="C30" s="371">
        <f>'MTRT 2015'!C83</f>
        <v>308656.49</v>
      </c>
      <c r="D30" s="371">
        <f>'MTRT 2015'!D83</f>
        <v>245652.86</v>
      </c>
      <c r="E30" s="371">
        <f>'MTRT 2015'!E83</f>
        <v>291697.21999999997</v>
      </c>
      <c r="F30" s="371">
        <f>'MTRT 2015'!F83</f>
        <v>567645.81999999995</v>
      </c>
      <c r="G30" s="371">
        <f>'MTRT 2015'!G83</f>
        <v>575570.02</v>
      </c>
      <c r="H30" s="371">
        <f>'MTRT 2015'!H83</f>
        <v>497528.02</v>
      </c>
      <c r="I30" s="371">
        <f>'MTRT 2015'!I83</f>
        <v>650788.97</v>
      </c>
      <c r="J30" s="371">
        <f>'MTRT 2015'!J83</f>
        <v>513931.3</v>
      </c>
      <c r="K30" s="371">
        <f>'MTRT 2015'!K83</f>
        <v>537456.59</v>
      </c>
      <c r="L30" s="371">
        <f>'MTRT 2015'!L83</f>
        <v>650894</v>
      </c>
      <c r="M30" s="371">
        <f>'MTRT 2015'!M83</f>
        <v>539823</v>
      </c>
      <c r="N30" s="542">
        <f t="shared" si="0"/>
        <v>5620812.3999999994</v>
      </c>
      <c r="O30" s="444">
        <f>SUM('TRT 2014'!B30:M30)</f>
        <v>5050880.25</v>
      </c>
      <c r="P30" s="589">
        <f t="shared" si="1"/>
        <v>0.11283818300780335</v>
      </c>
      <c r="Q30" s="629">
        <f t="shared" si="2"/>
        <v>0.11128059677119834</v>
      </c>
    </row>
    <row r="31" spans="1:17">
      <c r="A31" s="484" t="s">
        <v>40</v>
      </c>
      <c r="B31" s="371">
        <f>'MTRT 2015'!B93</f>
        <v>6895.71</v>
      </c>
      <c r="C31" s="371">
        <f>'MTRT 2015'!C93</f>
        <v>16542.34</v>
      </c>
      <c r="D31" s="371">
        <f>'MTRT 2015'!D93</f>
        <v>2589.06</v>
      </c>
      <c r="E31" s="371">
        <f>'MTRT 2015'!E93</f>
        <v>3382.23</v>
      </c>
      <c r="F31" s="371">
        <f>'MTRT 2015'!F93</f>
        <v>14785.2</v>
      </c>
      <c r="G31" s="371">
        <f>'MTRT 2015'!G93</f>
        <v>14171.43</v>
      </c>
      <c r="H31" s="371">
        <f>'MTRT 2015'!H93</f>
        <v>42026.879999999997</v>
      </c>
      <c r="I31" s="371">
        <f>'MTRT 2015'!I93</f>
        <v>59065.63</v>
      </c>
      <c r="J31" s="371">
        <f>'MTRT 2015'!J93</f>
        <v>27977.66</v>
      </c>
      <c r="K31" s="371">
        <f>'MTRT 2015'!K93</f>
        <v>26128.87</v>
      </c>
      <c r="L31" s="371">
        <f>'MTRT 2015'!L93</f>
        <v>69876.509999999995</v>
      </c>
      <c r="M31" s="371">
        <f>'MTRT 2015'!M93</f>
        <v>28174</v>
      </c>
      <c r="N31" s="542">
        <f t="shared" si="0"/>
        <v>311615.52</v>
      </c>
      <c r="O31" s="444">
        <f>SUM('TRT 2014'!B31:M31)</f>
        <v>270503.15000000002</v>
      </c>
      <c r="P31" s="589">
        <f t="shared" si="1"/>
        <v>0.15198481052808432</v>
      </c>
      <c r="Q31" s="629">
        <f t="shared" si="2"/>
        <v>6.1693503645073259E-3</v>
      </c>
    </row>
    <row r="32" spans="1:17" ht="13" thickBot="1">
      <c r="A32" s="483" t="s">
        <v>41</v>
      </c>
      <c r="B32" s="371">
        <f>'MTRT 2015'!B95</f>
        <v>58071.01</v>
      </c>
      <c r="C32" s="371">
        <f>'MTRT 2015'!C95</f>
        <v>82482.62</v>
      </c>
      <c r="D32" s="371">
        <f>'MTRT 2015'!D95</f>
        <v>94781.1</v>
      </c>
      <c r="E32" s="371">
        <f>'MTRT 2015'!E95</f>
        <v>81695.259999999995</v>
      </c>
      <c r="F32" s="371">
        <f>'MTRT 2015'!F95</f>
        <v>147488.28</v>
      </c>
      <c r="G32" s="371">
        <f>'MTRT 2015'!G95</f>
        <v>104579.77</v>
      </c>
      <c r="H32" s="371">
        <f>'MTRT 2015'!H95</f>
        <v>91207.85</v>
      </c>
      <c r="I32" s="371">
        <f>'MTRT 2015'!I95</f>
        <v>140730.62</v>
      </c>
      <c r="J32" s="371">
        <f>'MTRT 2015'!J95</f>
        <v>130336.88</v>
      </c>
      <c r="K32" s="371">
        <f>'MTRT 2015'!K95</f>
        <v>144949.35</v>
      </c>
      <c r="L32" s="371">
        <f>'MTRT 2015'!L95</f>
        <v>157933.97</v>
      </c>
      <c r="M32" s="371">
        <f>'MTRT 2015'!M95</f>
        <v>135760</v>
      </c>
      <c r="N32" s="542">
        <f t="shared" si="0"/>
        <v>1370016.71</v>
      </c>
      <c r="O32" s="444">
        <f>SUM('TRT 2014'!B32:M32)</f>
        <v>1137255.77</v>
      </c>
      <c r="P32" s="589">
        <f t="shared" si="1"/>
        <v>0.2046689461949267</v>
      </c>
      <c r="Q32" s="629">
        <f t="shared" si="2"/>
        <v>2.7123530590580425E-2</v>
      </c>
    </row>
    <row r="33" spans="1:17" ht="13" thickBot="1">
      <c r="A33" s="250" t="s">
        <v>54</v>
      </c>
      <c r="B33" s="141">
        <f>SUM(B4:B32)</f>
        <v>2200227.09</v>
      </c>
      <c r="C33" s="141">
        <f t="shared" ref="C33:M33" si="3">SUM(C4:C32)</f>
        <v>3815313.3</v>
      </c>
      <c r="D33" s="141">
        <f t="shared" si="3"/>
        <v>4215953.2299999995</v>
      </c>
      <c r="E33" s="141">
        <f t="shared" si="3"/>
        <v>3643093.1599999997</v>
      </c>
      <c r="F33" s="141">
        <f t="shared" si="3"/>
        <v>5408660.8600000013</v>
      </c>
      <c r="G33" s="141">
        <f t="shared" si="3"/>
        <v>3599036.2199999997</v>
      </c>
      <c r="H33" s="141">
        <f t="shared" si="3"/>
        <v>3765187.0700000003</v>
      </c>
      <c r="I33" s="141">
        <f t="shared" si="3"/>
        <v>5147780.32</v>
      </c>
      <c r="J33" s="141">
        <f t="shared" si="3"/>
        <v>4792581.1100000003</v>
      </c>
      <c r="K33" s="141">
        <f t="shared" si="3"/>
        <v>4711290</v>
      </c>
      <c r="L33" s="141">
        <f t="shared" si="3"/>
        <v>5348136.3499999987</v>
      </c>
      <c r="M33" s="141">
        <f t="shared" si="3"/>
        <v>3863006</v>
      </c>
      <c r="N33" s="548">
        <f t="shared" ref="N33:O33" si="4">SUM(N4:N32)</f>
        <v>50510264.710000001</v>
      </c>
      <c r="O33" s="549">
        <f t="shared" si="4"/>
        <v>44780048.708999999</v>
      </c>
      <c r="P33" s="590">
        <f>N33/O33-1</f>
        <v>0.12796359464093943</v>
      </c>
      <c r="Q33" s="630">
        <f t="shared" si="2"/>
        <v>1</v>
      </c>
    </row>
    <row r="34" spans="1:17" ht="13" thickBot="1">
      <c r="A34" s="537" t="s">
        <v>265</v>
      </c>
      <c r="B34" s="538">
        <f>(B33/'TRT 2014'!B33)-1</f>
        <v>7.8443252364818639E-2</v>
      </c>
      <c r="C34" s="538">
        <f>(C33/'TRT 2014'!C33)-1</f>
        <v>0.24639412100486924</v>
      </c>
      <c r="D34" s="538">
        <f>(D33/'TRT 2014'!D33)-1</f>
        <v>0.11330983352091462</v>
      </c>
      <c r="E34" s="538">
        <f>(E33/'TRT 2014'!E33)-1</f>
        <v>-2.9831073843317402E-2</v>
      </c>
      <c r="F34" s="538">
        <f>(F33/'TRT 2014'!F33)-1</f>
        <v>0.17312523229048682</v>
      </c>
      <c r="G34" s="538">
        <f>(G33/'TRT 2014'!G33)-1</f>
        <v>0.13009166561984808</v>
      </c>
      <c r="H34" s="538">
        <f>(H33/'TRT 2014'!H33)-1</f>
        <v>0.13426586965166609</v>
      </c>
      <c r="I34" s="538">
        <f>(I33/'TRT 2014'!I33)-1</f>
        <v>9.4445485088431314E-2</v>
      </c>
      <c r="J34" s="538">
        <f>(J33/'TRT 2014'!J33)-1</f>
        <v>0.19144384965850514</v>
      </c>
      <c r="K34" s="538">
        <f>(K33/'TRT 2014'!K33)-1</f>
        <v>0.10376483027388606</v>
      </c>
      <c r="L34" s="538">
        <f>(L33/'TRT 2014'!L33)-1</f>
        <v>0.1159574370746097</v>
      </c>
      <c r="M34" s="538">
        <f>(M33/'TRT 2014'!M33)-1</f>
        <v>0.19403336611794164</v>
      </c>
      <c r="N34" s="569"/>
      <c r="O34" s="570"/>
      <c r="P34" s="571"/>
      <c r="Q34" s="571"/>
    </row>
    <row r="35" spans="1:17" s="236" customFormat="1"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7"/>
    </row>
    <row r="36" spans="1:17" ht="21">
      <c r="A36" s="691" t="s">
        <v>338</v>
      </c>
      <c r="B36" s="691"/>
      <c r="C36" s="691"/>
      <c r="D36" s="691"/>
      <c r="E36" s="691"/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</row>
    <row r="37" spans="1:17" ht="13" thickBot="1"/>
    <row r="38" spans="1:17" ht="13" thickBot="1">
      <c r="A38" s="129" t="s">
        <v>42</v>
      </c>
      <c r="B38" s="130" t="s">
        <v>2</v>
      </c>
      <c r="C38" s="131" t="s">
        <v>3</v>
      </c>
      <c r="D38" s="131" t="s">
        <v>4</v>
      </c>
      <c r="E38" s="131" t="s">
        <v>5</v>
      </c>
      <c r="F38" s="131" t="s">
        <v>6</v>
      </c>
      <c r="G38" s="131" t="s">
        <v>7</v>
      </c>
      <c r="H38" s="131" t="s">
        <v>8</v>
      </c>
      <c r="I38" s="131" t="s">
        <v>9</v>
      </c>
      <c r="J38" s="131" t="s">
        <v>10</v>
      </c>
      <c r="K38" s="131" t="s">
        <v>11</v>
      </c>
      <c r="L38" s="131" t="s">
        <v>12</v>
      </c>
      <c r="M38" s="398" t="s">
        <v>13</v>
      </c>
      <c r="N38" s="540" t="s">
        <v>336</v>
      </c>
      <c r="O38" s="472" t="s">
        <v>147</v>
      </c>
      <c r="P38" s="588" t="s">
        <v>16</v>
      </c>
    </row>
    <row r="39" spans="1:17" ht="13" thickBot="1">
      <c r="A39" s="40" t="s">
        <v>31</v>
      </c>
      <c r="B39" s="523">
        <v>116642.67</v>
      </c>
      <c r="C39" s="524">
        <v>159106.10999999999</v>
      </c>
      <c r="D39" s="524">
        <v>190910.36</v>
      </c>
      <c r="E39" s="524">
        <v>197276</v>
      </c>
      <c r="F39" s="524">
        <v>241944.71</v>
      </c>
      <c r="G39" s="524">
        <v>165403.54999999999</v>
      </c>
      <c r="H39" s="524">
        <v>168855.01</v>
      </c>
      <c r="I39" s="524">
        <v>202440.57</v>
      </c>
      <c r="J39" s="524">
        <v>216402.06</v>
      </c>
      <c r="K39" s="524">
        <v>218073.02</v>
      </c>
      <c r="L39" s="524">
        <v>212335</v>
      </c>
      <c r="M39" s="543">
        <v>190397</v>
      </c>
      <c r="N39" s="545">
        <f>SUM(B39:M39)</f>
        <v>2279786.06</v>
      </c>
      <c r="O39" s="544">
        <f>SUM('TRT 2014'!B39:M39)</f>
        <v>1987273.3599999999</v>
      </c>
      <c r="P39" s="481">
        <f>N39/O39-1</f>
        <v>0.1471929860721326</v>
      </c>
    </row>
    <row r="40" spans="1:17" ht="13" thickBot="1">
      <c r="A40" s="537" t="s">
        <v>265</v>
      </c>
      <c r="B40" s="538">
        <f>B39/'TRT 2014'!B39-1</f>
        <v>0.11370725121973635</v>
      </c>
      <c r="C40" s="538">
        <f>C39/'TRT 2014'!C39-1</f>
        <v>0.28810749220688447</v>
      </c>
      <c r="D40" s="538">
        <f>D39/'TRT 2014'!D39-1</f>
        <v>-1.6033099901701431E-2</v>
      </c>
      <c r="E40" s="538">
        <f>E39/'TRT 2014'!E39-1</f>
        <v>0.13529473747877407</v>
      </c>
      <c r="F40" s="538">
        <f>F39/'TRT 2014'!F39-1</f>
        <v>0.15926647660573523</v>
      </c>
      <c r="G40" s="538">
        <f>G39/'TRT 2014'!G39-1</f>
        <v>2.1678073307225709E-2</v>
      </c>
      <c r="H40" s="538">
        <f>H39/'TRT 2014'!H39-1</f>
        <v>0.1545048866208647</v>
      </c>
      <c r="I40" s="538">
        <f>I39/'TRT 2014'!I39-1</f>
        <v>0.11170286930449524</v>
      </c>
      <c r="J40" s="538">
        <f>J39/'TRT 2014'!J39-1</f>
        <v>0.33790107206031039</v>
      </c>
      <c r="K40" s="538">
        <f>K39/'TRT 2014'!K39-1</f>
        <v>0.11603159461290757</v>
      </c>
      <c r="L40" s="538">
        <f>L39/'TRT 2014'!L39-1</f>
        <v>0.12560336151648865</v>
      </c>
      <c r="M40" s="538">
        <f>M39/'TRT 2014'!M39-1</f>
        <v>0.29974451153070403</v>
      </c>
      <c r="N40" s="572"/>
      <c r="O40" s="572"/>
      <c r="P40" s="573"/>
    </row>
    <row r="41" spans="1:17">
      <c r="N41" s="100"/>
    </row>
    <row r="42" spans="1:17">
      <c r="A42" s="188"/>
      <c r="M42" s="186"/>
      <c r="N42" s="100"/>
    </row>
    <row r="43" spans="1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7">
      <c r="H44" s="100"/>
    </row>
    <row r="45" spans="1:17">
      <c r="E45" s="222" t="s">
        <v>334</v>
      </c>
      <c r="G45" s="116"/>
      <c r="H45" s="100"/>
      <c r="I45" s="100"/>
    </row>
    <row r="46" spans="1:17">
      <c r="A46" s="208"/>
      <c r="B46" s="208"/>
      <c r="C46" s="208"/>
      <c r="D46" s="208"/>
      <c r="E46" s="208"/>
      <c r="F46" s="208"/>
      <c r="G46" s="209"/>
      <c r="H46" s="217"/>
      <c r="I46" s="208"/>
      <c r="J46" s="208"/>
      <c r="K46" s="208"/>
      <c r="L46" s="208"/>
      <c r="M46" s="208"/>
      <c r="N46" s="208"/>
    </row>
    <row r="47" spans="1:17">
      <c r="A47" s="210"/>
      <c r="B47" s="190"/>
      <c r="C47" s="190"/>
      <c r="D47" s="190"/>
      <c r="E47" s="190"/>
      <c r="F47" s="190"/>
      <c r="G47" s="190"/>
      <c r="H47" s="215"/>
      <c r="I47" s="190"/>
      <c r="J47" s="190"/>
      <c r="K47" s="190"/>
      <c r="L47" s="190"/>
      <c r="M47" s="190"/>
    </row>
    <row r="48" spans="1:17">
      <c r="A48" s="212"/>
      <c r="B48" s="213"/>
      <c r="C48" s="213"/>
      <c r="D48" s="213"/>
      <c r="E48" s="213"/>
      <c r="F48" s="213"/>
      <c r="G48" s="213"/>
      <c r="H48" s="213"/>
      <c r="I48" s="214"/>
      <c r="J48" s="212"/>
      <c r="K48" s="212"/>
      <c r="L48" s="212"/>
      <c r="M48" s="212"/>
      <c r="N48" s="212"/>
    </row>
    <row r="49" spans="7:7">
      <c r="G49" s="186"/>
    </row>
    <row r="50" spans="7:7">
      <c r="G50" s="193"/>
    </row>
    <row r="51" spans="7:7">
      <c r="G51" s="194"/>
    </row>
  </sheetData>
  <mergeCells count="2">
    <mergeCell ref="A36:P36"/>
    <mergeCell ref="A1:Q1"/>
  </mergeCells>
  <conditionalFormatting sqref="P4:P33 P39">
    <cfRule type="cellIs" dxfId="3" priority="1" operator="lessThan">
      <formula>0</formula>
    </cfRule>
    <cfRule type="cellIs" dxfId="2" priority="2" operator="greaterThan">
      <formula>0</formula>
    </cfRule>
  </conditionalFormatting>
  <printOptions horizontalCentered="1"/>
  <pageMargins left="0.25" right="0.25" top="0.25" bottom="0.25" header="0" footer="0"/>
  <pageSetup scale="86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 enableFormatConditionsCalculation="0">
    <tabColor rgb="FF0070C0"/>
    <pageSetUpPr fitToPage="1"/>
  </sheetPr>
  <dimension ref="A1:P51"/>
  <sheetViews>
    <sheetView workbookViewId="0">
      <pane xSplit="1" topLeftCell="B1" activePane="topRight" state="frozen"/>
      <selection pane="topRight" activeCell="B30" sqref="B30:M30"/>
    </sheetView>
  </sheetViews>
  <sheetFormatPr baseColWidth="10" defaultColWidth="8.83203125" defaultRowHeight="12" x14ac:dyDescent="0"/>
  <cols>
    <col min="1" max="1" width="11.33203125" bestFit="1" customWidth="1"/>
    <col min="2" max="12" width="9.6640625" customWidth="1"/>
    <col min="13" max="13" width="10.5" bestFit="1" customWidth="1"/>
    <col min="14" max="14" width="11.1640625" bestFit="1" customWidth="1"/>
    <col min="15" max="15" width="9.5" bestFit="1" customWidth="1"/>
    <col min="16" max="16" width="10.1640625" bestFit="1" customWidth="1"/>
  </cols>
  <sheetData>
    <row r="1" spans="1:16" ht="17">
      <c r="A1" s="712" t="s">
        <v>148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</row>
    <row r="2" spans="1:16" ht="13" thickBot="1"/>
    <row r="3" spans="1:16" ht="13" thickBot="1">
      <c r="A3" s="129" t="s">
        <v>42</v>
      </c>
      <c r="B3" s="130" t="s">
        <v>2</v>
      </c>
      <c r="C3" s="131" t="s">
        <v>3</v>
      </c>
      <c r="D3" s="131" t="s">
        <v>4</v>
      </c>
      <c r="E3" s="131" t="s">
        <v>5</v>
      </c>
      <c r="F3" s="131" t="s">
        <v>6</v>
      </c>
      <c r="G3" s="131" t="s">
        <v>7</v>
      </c>
      <c r="H3" s="131" t="s">
        <v>8</v>
      </c>
      <c r="I3" s="131" t="s">
        <v>9</v>
      </c>
      <c r="J3" s="131" t="s">
        <v>10</v>
      </c>
      <c r="K3" s="131" t="s">
        <v>11</v>
      </c>
      <c r="L3" s="131" t="s">
        <v>12</v>
      </c>
      <c r="M3" s="398" t="s">
        <v>13</v>
      </c>
      <c r="N3" s="540" t="s">
        <v>147</v>
      </c>
      <c r="O3" s="472" t="s">
        <v>127</v>
      </c>
      <c r="P3" s="480" t="s">
        <v>16</v>
      </c>
    </row>
    <row r="4" spans="1:16">
      <c r="A4" s="482" t="s">
        <v>17</v>
      </c>
      <c r="B4" s="372">
        <v>7806.59</v>
      </c>
      <c r="C4" s="372">
        <v>23283.72</v>
      </c>
      <c r="D4" s="372">
        <v>8011.24</v>
      </c>
      <c r="E4" s="372">
        <v>6336.95</v>
      </c>
      <c r="F4" s="372">
        <v>27722.28</v>
      </c>
      <c r="G4" s="372">
        <v>11327.16</v>
      </c>
      <c r="H4" s="372">
        <v>10784.67</v>
      </c>
      <c r="I4" s="372">
        <v>34470.97</v>
      </c>
      <c r="J4" s="372">
        <v>15294.31</v>
      </c>
      <c r="K4" s="372">
        <v>15265.62</v>
      </c>
      <c r="L4" s="372">
        <v>42260.67</v>
      </c>
      <c r="M4" s="539">
        <v>13102.16</v>
      </c>
      <c r="N4" s="541">
        <f t="shared" ref="N4:N32" si="0">SUM(B4:M4)</f>
        <v>215666.34</v>
      </c>
      <c r="O4" s="444">
        <f>SUM('TRT 2013'!B4:M4)</f>
        <v>212031.77999999997</v>
      </c>
      <c r="P4" s="527">
        <f t="shared" ref="P4:P32" si="1">N4/O4-1</f>
        <v>1.7141581323328214E-2</v>
      </c>
    </row>
    <row r="5" spans="1:16">
      <c r="A5" s="483" t="s">
        <v>18</v>
      </c>
      <c r="B5" s="371">
        <v>17867.75</v>
      </c>
      <c r="C5" s="371">
        <v>11575.29</v>
      </c>
      <c r="D5" s="371">
        <v>19668.96</v>
      </c>
      <c r="E5" s="371">
        <v>10612.71</v>
      </c>
      <c r="F5" s="371">
        <v>23022.21</v>
      </c>
      <c r="G5" s="371">
        <v>13153.08</v>
      </c>
      <c r="H5" s="371">
        <v>11778.12</v>
      </c>
      <c r="I5" s="371">
        <v>37854.76</v>
      </c>
      <c r="J5" s="371">
        <v>23036.720000000001</v>
      </c>
      <c r="K5" s="371">
        <v>22219.93</v>
      </c>
      <c r="L5" s="371">
        <v>27533.85</v>
      </c>
      <c r="M5" s="99">
        <v>19025.439999999999</v>
      </c>
      <c r="N5" s="542">
        <f t="shared" si="0"/>
        <v>237348.82</v>
      </c>
      <c r="O5" s="444">
        <f>SUM('TRT 2013'!B5:M5)</f>
        <v>211893.6</v>
      </c>
      <c r="P5" s="527">
        <f t="shared" si="1"/>
        <v>0.12013208515972162</v>
      </c>
    </row>
    <row r="6" spans="1:16">
      <c r="A6" s="484" t="s">
        <v>19</v>
      </c>
      <c r="B6" s="371">
        <v>23190.18</v>
      </c>
      <c r="C6" s="371">
        <v>29295.62</v>
      </c>
      <c r="D6" s="371">
        <v>19477.53</v>
      </c>
      <c r="E6" s="371">
        <v>23883.77</v>
      </c>
      <c r="F6" s="371">
        <v>34210.31</v>
      </c>
      <c r="G6" s="371">
        <v>31066.53</v>
      </c>
      <c r="H6" s="371">
        <v>27876.99</v>
      </c>
      <c r="I6" s="371">
        <v>63758.46</v>
      </c>
      <c r="J6" s="371">
        <v>45207.18</v>
      </c>
      <c r="K6" s="371">
        <v>65661.39</v>
      </c>
      <c r="L6" s="371">
        <v>48002.11</v>
      </c>
      <c r="M6" s="99">
        <v>28812.45</v>
      </c>
      <c r="N6" s="542">
        <f t="shared" si="0"/>
        <v>440442.52</v>
      </c>
      <c r="O6" s="444">
        <f>SUM('TRT 2013'!B6:M6)</f>
        <v>446876.86</v>
      </c>
      <c r="P6" s="619">
        <f t="shared" si="1"/>
        <v>-1.439846314709603E-2</v>
      </c>
    </row>
    <row r="7" spans="1:16">
      <c r="A7" s="484" t="s">
        <v>20</v>
      </c>
      <c r="B7" s="371">
        <v>15745.44</v>
      </c>
      <c r="C7" s="371">
        <v>12924.8</v>
      </c>
      <c r="D7" s="371">
        <v>18505.36</v>
      </c>
      <c r="E7" s="371">
        <v>13079.82</v>
      </c>
      <c r="F7" s="371">
        <v>24144.26</v>
      </c>
      <c r="G7" s="371">
        <v>28673.33</v>
      </c>
      <c r="H7" s="371">
        <v>27296.04</v>
      </c>
      <c r="I7" s="371">
        <v>18349.53</v>
      </c>
      <c r="J7" s="371">
        <v>19963</v>
      </c>
      <c r="K7" s="371">
        <v>19213.39</v>
      </c>
      <c r="L7" s="371">
        <v>25960.68</v>
      </c>
      <c r="M7" s="99">
        <v>28878.720000000001</v>
      </c>
      <c r="N7" s="542">
        <f t="shared" si="0"/>
        <v>252734.36999999997</v>
      </c>
      <c r="O7" s="444">
        <f>SUM('TRT 2013'!B7:M7)</f>
        <v>242040.79</v>
      </c>
      <c r="P7" s="527">
        <f t="shared" si="1"/>
        <v>4.4180900252391186E-2</v>
      </c>
    </row>
    <row r="8" spans="1:16">
      <c r="A8" s="484" t="s">
        <v>21</v>
      </c>
      <c r="B8" s="371">
        <v>2106.5</v>
      </c>
      <c r="C8" s="371">
        <v>2345.44</v>
      </c>
      <c r="D8" s="371">
        <v>3611.85</v>
      </c>
      <c r="E8" s="371">
        <v>2649.1</v>
      </c>
      <c r="F8" s="371">
        <v>3560</v>
      </c>
      <c r="G8" s="371">
        <v>6820.75</v>
      </c>
      <c r="H8" s="371">
        <v>5894.85</v>
      </c>
      <c r="I8" s="371">
        <v>14195.8</v>
      </c>
      <c r="J8" s="371">
        <v>20828.009999999998</v>
      </c>
      <c r="K8" s="371">
        <v>5839.04</v>
      </c>
      <c r="L8" s="371">
        <v>12360.64</v>
      </c>
      <c r="M8" s="99">
        <v>3234.26</v>
      </c>
      <c r="N8" s="542">
        <f t="shared" si="0"/>
        <v>83446.239999999976</v>
      </c>
      <c r="O8" s="444">
        <f>SUM('TRT 2013'!B8:M8)</f>
        <v>71440.999000000011</v>
      </c>
      <c r="P8" s="527">
        <f t="shared" si="1"/>
        <v>0.16804413667283624</v>
      </c>
    </row>
    <row r="9" spans="1:16">
      <c r="A9" s="484" t="s">
        <v>22</v>
      </c>
      <c r="B9" s="371">
        <v>49230.96</v>
      </c>
      <c r="C9" s="371">
        <v>78180.350000000006</v>
      </c>
      <c r="D9" s="371">
        <v>93289.95</v>
      </c>
      <c r="E9" s="371">
        <v>67910.570000000007</v>
      </c>
      <c r="F9" s="371">
        <v>118513.82</v>
      </c>
      <c r="G9" s="371">
        <v>99817.919999999998</v>
      </c>
      <c r="H9" s="371">
        <v>104699.23</v>
      </c>
      <c r="I9" s="371">
        <v>150248.26</v>
      </c>
      <c r="J9" s="371">
        <v>127696.54</v>
      </c>
      <c r="K9" s="371">
        <v>169314.08</v>
      </c>
      <c r="L9" s="371">
        <v>148257.1</v>
      </c>
      <c r="M9" s="99">
        <v>105224.16</v>
      </c>
      <c r="N9" s="542">
        <f t="shared" si="0"/>
        <v>1312382.9400000002</v>
      </c>
      <c r="O9" s="444">
        <f>SUM('TRT 2013'!B9:M9)</f>
        <v>1101677.8900000001</v>
      </c>
      <c r="P9" s="527">
        <f t="shared" si="1"/>
        <v>0.19125830872397742</v>
      </c>
    </row>
    <row r="10" spans="1:16">
      <c r="A10" s="484" t="s">
        <v>23</v>
      </c>
      <c r="B10" s="371">
        <v>3136.36</v>
      </c>
      <c r="C10" s="371">
        <v>19931.099999999999</v>
      </c>
      <c r="D10" s="371">
        <v>2884.67</v>
      </c>
      <c r="E10" s="371">
        <v>1542.01</v>
      </c>
      <c r="F10" s="371">
        <v>5788.45</v>
      </c>
      <c r="G10" s="371">
        <v>1693.39</v>
      </c>
      <c r="H10" s="371">
        <v>4144.49</v>
      </c>
      <c r="I10" s="371">
        <v>10450.24</v>
      </c>
      <c r="J10" s="371">
        <v>15172.57</v>
      </c>
      <c r="K10" s="371">
        <v>6880.98</v>
      </c>
      <c r="L10" s="371">
        <v>21693.43</v>
      </c>
      <c r="M10" s="99">
        <v>8225.31</v>
      </c>
      <c r="N10" s="542">
        <f t="shared" si="0"/>
        <v>101543</v>
      </c>
      <c r="O10" s="444">
        <f>SUM('TRT 2013'!B10:M10)</f>
        <v>100356.78</v>
      </c>
      <c r="P10" s="527">
        <f t="shared" si="1"/>
        <v>1.1820028502309565E-2</v>
      </c>
    </row>
    <row r="11" spans="1:16">
      <c r="A11" s="484" t="s">
        <v>51</v>
      </c>
      <c r="B11" s="373">
        <v>11303.07</v>
      </c>
      <c r="C11" s="373">
        <v>13345.86</v>
      </c>
      <c r="D11" s="373">
        <v>8407.33</v>
      </c>
      <c r="E11" s="373">
        <v>5180.3990000000003</v>
      </c>
      <c r="F11" s="373">
        <v>22711.46</v>
      </c>
      <c r="G11" s="373">
        <v>29435.06</v>
      </c>
      <c r="H11" s="373">
        <v>49383.57</v>
      </c>
      <c r="I11" s="373">
        <v>57909.81</v>
      </c>
      <c r="J11" s="373">
        <v>34237.230000000003</v>
      </c>
      <c r="K11" s="373">
        <v>30640.33</v>
      </c>
      <c r="L11" s="373">
        <v>60203</v>
      </c>
      <c r="M11" s="294">
        <v>35724.67</v>
      </c>
      <c r="N11" s="542">
        <f t="shared" si="0"/>
        <v>358481.78899999999</v>
      </c>
      <c r="O11" s="444">
        <f>SUM('TRT 2013'!B11:M11)</f>
        <v>316980.11</v>
      </c>
      <c r="P11" s="527">
        <f t="shared" si="1"/>
        <v>0.13092833805881376</v>
      </c>
    </row>
    <row r="12" spans="1:16">
      <c r="A12" s="484" t="s">
        <v>24</v>
      </c>
      <c r="B12" s="373">
        <v>35459.85</v>
      </c>
      <c r="C12" s="373">
        <v>30262.5</v>
      </c>
      <c r="D12" s="373">
        <v>12692.26</v>
      </c>
      <c r="E12" s="373">
        <v>19285.77</v>
      </c>
      <c r="F12" s="373">
        <v>47334.25</v>
      </c>
      <c r="G12" s="373">
        <v>104241.25</v>
      </c>
      <c r="H12" s="373">
        <v>171943.55</v>
      </c>
      <c r="I12" s="373">
        <v>257028.8</v>
      </c>
      <c r="J12" s="373">
        <v>166393.21</v>
      </c>
      <c r="K12" s="373">
        <v>184673.58</v>
      </c>
      <c r="L12" s="373">
        <v>285797.46999999997</v>
      </c>
      <c r="M12" s="294">
        <v>124313.05</v>
      </c>
      <c r="N12" s="542">
        <f t="shared" si="0"/>
        <v>1439425.5399999998</v>
      </c>
      <c r="O12" s="444">
        <f>SUM('TRT 2013'!B12:M12)</f>
        <v>1337502.8099999998</v>
      </c>
      <c r="P12" s="527">
        <f t="shared" si="1"/>
        <v>7.6203750181280006E-2</v>
      </c>
    </row>
    <row r="13" spans="1:16">
      <c r="A13" s="484" t="s">
        <v>25</v>
      </c>
      <c r="B13" s="373">
        <v>89955.57</v>
      </c>
      <c r="C13" s="373">
        <v>87365.27</v>
      </c>
      <c r="D13" s="373">
        <v>46000.32</v>
      </c>
      <c r="E13" s="373">
        <v>72268.539999999994</v>
      </c>
      <c r="F13" s="373">
        <v>275996.65999999997</v>
      </c>
      <c r="G13" s="373">
        <v>343512.76</v>
      </c>
      <c r="H13" s="373">
        <v>410312.17</v>
      </c>
      <c r="I13" s="373">
        <v>516748.28</v>
      </c>
      <c r="J13" s="373">
        <v>326117.01</v>
      </c>
      <c r="K13" s="373">
        <v>395497.79</v>
      </c>
      <c r="L13" s="373">
        <v>514830.67</v>
      </c>
      <c r="M13" s="294">
        <v>305124.78999999998</v>
      </c>
      <c r="N13" s="542">
        <f t="shared" si="0"/>
        <v>3383729.83</v>
      </c>
      <c r="O13" s="444">
        <f>SUM('TRT 2013'!B13:M13)</f>
        <v>2801247.82</v>
      </c>
      <c r="P13" s="527">
        <f t="shared" si="1"/>
        <v>0.20793662232997301</v>
      </c>
    </row>
    <row r="14" spans="1:16">
      <c r="A14" s="484" t="s">
        <v>26</v>
      </c>
      <c r="B14" s="373">
        <v>46189.64</v>
      </c>
      <c r="C14" s="373">
        <v>72151.78</v>
      </c>
      <c r="D14" s="373">
        <v>47506.95</v>
      </c>
      <c r="E14" s="373">
        <v>63908.93</v>
      </c>
      <c r="F14" s="373">
        <v>82906.48</v>
      </c>
      <c r="G14" s="373">
        <v>71679.12</v>
      </c>
      <c r="H14" s="373">
        <v>77111.28</v>
      </c>
      <c r="I14" s="373">
        <v>140866.79</v>
      </c>
      <c r="J14" s="373">
        <v>97808.59</v>
      </c>
      <c r="K14" s="373">
        <v>107512.5</v>
      </c>
      <c r="L14" s="373">
        <v>142022.35</v>
      </c>
      <c r="M14" s="294">
        <v>93034.94</v>
      </c>
      <c r="N14" s="542">
        <f t="shared" si="0"/>
        <v>1042699.3499999999</v>
      </c>
      <c r="O14" s="444">
        <f>SUM('TRT 2013'!B14:M14)</f>
        <v>929994.96999999986</v>
      </c>
      <c r="P14" s="527">
        <f t="shared" si="1"/>
        <v>0.12118816083489148</v>
      </c>
    </row>
    <row r="15" spans="1:16">
      <c r="A15" s="484" t="s">
        <v>27</v>
      </c>
      <c r="B15" s="373">
        <v>9274.59</v>
      </c>
      <c r="C15" s="373">
        <v>9286.01</v>
      </c>
      <c r="D15" s="373">
        <v>1700.06</v>
      </c>
      <c r="E15" s="373">
        <v>1350.73</v>
      </c>
      <c r="F15" s="373">
        <v>11485.09</v>
      </c>
      <c r="G15" s="373">
        <v>2225.7399999999998</v>
      </c>
      <c r="H15" s="373">
        <v>4894.93</v>
      </c>
      <c r="I15" s="373">
        <v>15567.59</v>
      </c>
      <c r="J15" s="373">
        <v>6714.92</v>
      </c>
      <c r="K15" s="373">
        <v>3410.05</v>
      </c>
      <c r="L15" s="373">
        <v>18188.52</v>
      </c>
      <c r="M15" s="294">
        <v>2382.84</v>
      </c>
      <c r="N15" s="542">
        <f t="shared" si="0"/>
        <v>86481.069999999992</v>
      </c>
      <c r="O15" s="444">
        <f>SUM('TRT 2013'!B15:M15)</f>
        <v>73675.53</v>
      </c>
      <c r="P15" s="527">
        <f t="shared" si="1"/>
        <v>0.17380994748188439</v>
      </c>
    </row>
    <row r="16" spans="1:16">
      <c r="A16" s="484" t="s">
        <v>28</v>
      </c>
      <c r="B16" s="373">
        <v>78876.56</v>
      </c>
      <c r="C16" s="373">
        <v>64058.25</v>
      </c>
      <c r="D16" s="373">
        <v>40165.03</v>
      </c>
      <c r="E16" s="373">
        <v>29062.639999999999</v>
      </c>
      <c r="F16" s="373">
        <v>94796.21</v>
      </c>
      <c r="G16" s="373">
        <v>139400.6</v>
      </c>
      <c r="H16" s="373">
        <v>175839.85</v>
      </c>
      <c r="I16" s="373">
        <v>261430.9</v>
      </c>
      <c r="J16" s="373">
        <v>185224.53</v>
      </c>
      <c r="K16" s="373">
        <v>195804.93</v>
      </c>
      <c r="L16" s="373">
        <v>254440.64</v>
      </c>
      <c r="M16" s="294">
        <v>178747.2</v>
      </c>
      <c r="N16" s="542">
        <f t="shared" si="0"/>
        <v>1697847.34</v>
      </c>
      <c r="O16" s="444">
        <f>SUM('TRT 2013'!B16:M16)</f>
        <v>1459541.09</v>
      </c>
      <c r="P16" s="527">
        <f t="shared" si="1"/>
        <v>0.16327477974600901</v>
      </c>
    </row>
    <row r="17" spans="1:16">
      <c r="A17" s="484" t="s">
        <v>52</v>
      </c>
      <c r="B17" s="373">
        <v>6211.12</v>
      </c>
      <c r="C17" s="373">
        <v>9587.08</v>
      </c>
      <c r="D17" s="373">
        <v>4694.34</v>
      </c>
      <c r="E17" s="373">
        <v>4784.2700000000004</v>
      </c>
      <c r="F17" s="373">
        <v>11893.06</v>
      </c>
      <c r="G17" s="373">
        <v>9246.93</v>
      </c>
      <c r="H17" s="373">
        <v>6365.44</v>
      </c>
      <c r="I17" s="373">
        <v>16609.28</v>
      </c>
      <c r="J17" s="373">
        <v>9689.4599999999991</v>
      </c>
      <c r="K17" s="373">
        <v>9096.26</v>
      </c>
      <c r="L17" s="373">
        <v>13553.42</v>
      </c>
      <c r="M17" s="294">
        <v>13542.03</v>
      </c>
      <c r="N17" s="542">
        <f t="shared" si="0"/>
        <v>115272.69</v>
      </c>
      <c r="O17" s="444">
        <f>SUM('TRT 2013'!B17:M17)</f>
        <v>119033.52</v>
      </c>
      <c r="P17" s="619">
        <f t="shared" si="1"/>
        <v>-3.159471382514778E-2</v>
      </c>
    </row>
    <row r="18" spans="1:16">
      <c r="A18" s="484" t="s">
        <v>29</v>
      </c>
      <c r="B18" s="373">
        <v>27.91</v>
      </c>
      <c r="C18" s="373">
        <v>251.47</v>
      </c>
      <c r="D18" s="373">
        <v>163.34</v>
      </c>
      <c r="E18" s="373">
        <v>0</v>
      </c>
      <c r="F18" s="373">
        <v>442.78</v>
      </c>
      <c r="G18" s="373">
        <v>0</v>
      </c>
      <c r="H18" s="373">
        <v>1282.48</v>
      </c>
      <c r="I18" s="373">
        <v>488.38</v>
      </c>
      <c r="J18" s="373">
        <v>1648.45</v>
      </c>
      <c r="K18" s="373">
        <v>565.28</v>
      </c>
      <c r="L18" s="373">
        <v>342.09</v>
      </c>
      <c r="M18" s="294">
        <v>0</v>
      </c>
      <c r="N18" s="542">
        <f t="shared" si="0"/>
        <v>5212.18</v>
      </c>
      <c r="O18" s="444">
        <f>SUM('TRT 2013'!B18:M18)</f>
        <v>4428</v>
      </c>
      <c r="P18" s="527">
        <f t="shared" si="1"/>
        <v>0.17709575429087621</v>
      </c>
    </row>
    <row r="19" spans="1:16">
      <c r="A19" s="484" t="s">
        <v>53</v>
      </c>
      <c r="B19" s="373">
        <v>1388.61</v>
      </c>
      <c r="C19" s="373">
        <v>870.67</v>
      </c>
      <c r="D19" s="373">
        <v>1153.32</v>
      </c>
      <c r="E19" s="373">
        <v>100.94</v>
      </c>
      <c r="F19" s="373">
        <v>494.96</v>
      </c>
      <c r="G19" s="373">
        <v>0</v>
      </c>
      <c r="H19" s="373">
        <v>2153.56</v>
      </c>
      <c r="I19" s="373">
        <v>6359.12</v>
      </c>
      <c r="J19" s="373">
        <v>512.34</v>
      </c>
      <c r="K19" s="373">
        <v>4086.6</v>
      </c>
      <c r="L19" s="373">
        <v>6738.28</v>
      </c>
      <c r="M19" s="294">
        <v>239.91</v>
      </c>
      <c r="N19" s="542">
        <f t="shared" si="0"/>
        <v>24098.309999999998</v>
      </c>
      <c r="O19" s="444">
        <f>SUM('TRT 2013'!B19:M19)</f>
        <v>22911.919999999998</v>
      </c>
      <c r="P19" s="527">
        <f t="shared" si="1"/>
        <v>5.1780470602201811E-2</v>
      </c>
    </row>
    <row r="20" spans="1:16">
      <c r="A20" s="484" t="s">
        <v>30</v>
      </c>
      <c r="B20" s="373">
        <v>2680.85</v>
      </c>
      <c r="C20" s="373">
        <v>4857.2</v>
      </c>
      <c r="D20" s="373">
        <v>0</v>
      </c>
      <c r="E20" s="373">
        <v>5963.71</v>
      </c>
      <c r="F20" s="373">
        <v>5162.03</v>
      </c>
      <c r="G20" s="373">
        <v>286.11</v>
      </c>
      <c r="H20" s="373">
        <v>10473.57</v>
      </c>
      <c r="I20" s="373">
        <v>31789.47</v>
      </c>
      <c r="J20" s="373">
        <v>34213.410000000003</v>
      </c>
      <c r="K20" s="373">
        <v>23534.76</v>
      </c>
      <c r="L20" s="373">
        <v>45362.12</v>
      </c>
      <c r="M20" s="294">
        <v>10592.66</v>
      </c>
      <c r="N20" s="542">
        <f t="shared" si="0"/>
        <v>174915.89</v>
      </c>
      <c r="O20" s="444">
        <f>SUM('TRT 2013'!B20:M20)</f>
        <v>152853.58000000002</v>
      </c>
      <c r="P20" s="527">
        <f t="shared" si="1"/>
        <v>0.14433623340715984</v>
      </c>
    </row>
    <row r="21" spans="1:16">
      <c r="A21" s="484" t="s">
        <v>31</v>
      </c>
      <c r="B21" s="373">
        <v>756701.02</v>
      </c>
      <c r="C21" s="373">
        <v>892427.12</v>
      </c>
      <c r="D21" s="373">
        <v>1401802.86</v>
      </c>
      <c r="E21" s="373">
        <v>1255461.57</v>
      </c>
      <c r="F21" s="373">
        <v>1507894.47</v>
      </c>
      <c r="G21" s="373">
        <v>1169686.98</v>
      </c>
      <c r="H21" s="373">
        <v>1056710.45</v>
      </c>
      <c r="I21" s="373">
        <v>1315669.04</v>
      </c>
      <c r="J21" s="373">
        <v>1168625.3799999999</v>
      </c>
      <c r="K21" s="373">
        <v>1411767.78</v>
      </c>
      <c r="L21" s="373">
        <v>1362931.7</v>
      </c>
      <c r="M21" s="294">
        <v>1058375.6000000001</v>
      </c>
      <c r="N21" s="542">
        <f t="shared" si="0"/>
        <v>14358053.969999999</v>
      </c>
      <c r="O21" s="444">
        <f>SUM('TRT 2013'!B21:M21)</f>
        <v>13492626.900000002</v>
      </c>
      <c r="P21" s="527">
        <f t="shared" si="1"/>
        <v>6.4140739710218719E-2</v>
      </c>
    </row>
    <row r="22" spans="1:16">
      <c r="A22" s="484" t="s">
        <v>45</v>
      </c>
      <c r="B22" s="373">
        <v>18183.96</v>
      </c>
      <c r="C22" s="373">
        <v>25810.33</v>
      </c>
      <c r="D22" s="373">
        <v>8550.69</v>
      </c>
      <c r="E22" s="373">
        <v>10239.58</v>
      </c>
      <c r="F22" s="373">
        <v>41302.85</v>
      </c>
      <c r="G22" s="373">
        <v>35549.769999999997</v>
      </c>
      <c r="H22" s="373">
        <v>65985.509999999995</v>
      </c>
      <c r="I22" s="373">
        <v>97294.47</v>
      </c>
      <c r="J22" s="373">
        <v>69077.960000000006</v>
      </c>
      <c r="K22" s="373">
        <v>80854.009999999995</v>
      </c>
      <c r="L22" s="373">
        <v>120182.81</v>
      </c>
      <c r="M22" s="294">
        <v>45972.31</v>
      </c>
      <c r="N22" s="542">
        <f t="shared" si="0"/>
        <v>619004.25</v>
      </c>
      <c r="O22" s="444">
        <f>SUM('TRT 2013'!B22:M22)</f>
        <v>555486.66</v>
      </c>
      <c r="P22" s="527">
        <f t="shared" si="1"/>
        <v>0.11434584225658995</v>
      </c>
    </row>
    <row r="23" spans="1:16">
      <c r="A23" s="484" t="s">
        <v>32</v>
      </c>
      <c r="B23" s="373">
        <v>2321.41</v>
      </c>
      <c r="C23" s="373">
        <v>12587.77</v>
      </c>
      <c r="D23" s="373">
        <v>3856.91</v>
      </c>
      <c r="E23" s="373">
        <v>2064.41</v>
      </c>
      <c r="F23" s="373">
        <v>10210.08</v>
      </c>
      <c r="G23" s="373">
        <v>2460.6999999999998</v>
      </c>
      <c r="H23" s="373">
        <v>5618.29</v>
      </c>
      <c r="I23" s="373">
        <v>15395.45</v>
      </c>
      <c r="J23" s="373">
        <v>8267.07</v>
      </c>
      <c r="K23" s="373">
        <v>7840.07</v>
      </c>
      <c r="L23" s="373">
        <v>15820.08</v>
      </c>
      <c r="M23" s="294">
        <v>148.22999999999999</v>
      </c>
      <c r="N23" s="542">
        <f t="shared" si="0"/>
        <v>86590.47</v>
      </c>
      <c r="O23" s="444">
        <f>SUM('TRT 2013'!B23:M23)</f>
        <v>90365.28</v>
      </c>
      <c r="P23" s="619">
        <f t="shared" si="1"/>
        <v>-4.1772791496911155E-2</v>
      </c>
    </row>
    <row r="24" spans="1:16">
      <c r="A24" s="484" t="s">
        <v>33</v>
      </c>
      <c r="B24" s="373">
        <v>19702.71</v>
      </c>
      <c r="C24" s="373">
        <v>23182.44</v>
      </c>
      <c r="D24" s="373">
        <v>21239.599999999999</v>
      </c>
      <c r="E24" s="373">
        <v>19060.36</v>
      </c>
      <c r="F24" s="373">
        <v>32623.53</v>
      </c>
      <c r="G24" s="373">
        <v>30888.23</v>
      </c>
      <c r="H24" s="373">
        <v>39974.17</v>
      </c>
      <c r="I24" s="373">
        <v>62962.5</v>
      </c>
      <c r="J24" s="373">
        <v>54404.88</v>
      </c>
      <c r="K24" s="373">
        <v>48509.84</v>
      </c>
      <c r="L24" s="373">
        <v>55274.27</v>
      </c>
      <c r="M24" s="294">
        <v>31247.14</v>
      </c>
      <c r="N24" s="542">
        <f t="shared" si="0"/>
        <v>439069.67000000004</v>
      </c>
      <c r="O24" s="444">
        <f>SUM('TRT 2013'!B24:M24)</f>
        <v>432252.44</v>
      </c>
      <c r="P24" s="527">
        <f t="shared" si="1"/>
        <v>1.5771408947975019E-2</v>
      </c>
    </row>
    <row r="25" spans="1:16">
      <c r="A25" s="484" t="s">
        <v>34</v>
      </c>
      <c r="B25" s="373">
        <v>297263.03000000003</v>
      </c>
      <c r="C25" s="373">
        <v>924375.33</v>
      </c>
      <c r="D25" s="373">
        <v>1271799.92</v>
      </c>
      <c r="E25" s="373">
        <v>1400600.46</v>
      </c>
      <c r="F25" s="373">
        <v>1053120.83</v>
      </c>
      <c r="G25" s="373">
        <v>157252.74</v>
      </c>
      <c r="H25" s="373">
        <v>129805.56</v>
      </c>
      <c r="I25" s="373">
        <v>339763.61</v>
      </c>
      <c r="J25" s="373">
        <v>450423.36</v>
      </c>
      <c r="K25" s="373">
        <v>304393.44</v>
      </c>
      <c r="L25" s="373">
        <v>292104.18</v>
      </c>
      <c r="M25" s="294">
        <v>215011.82</v>
      </c>
      <c r="N25" s="542">
        <f t="shared" si="0"/>
        <v>6835914.2800000012</v>
      </c>
      <c r="O25" s="444">
        <f>SUM('TRT 2013'!B25:M25)</f>
        <v>6410967.2999999998</v>
      </c>
      <c r="P25" s="527">
        <f t="shared" si="1"/>
        <v>6.6284378022018808E-2</v>
      </c>
    </row>
    <row r="26" spans="1:16">
      <c r="A26" s="484" t="s">
        <v>35</v>
      </c>
      <c r="B26" s="373">
        <v>15854.02</v>
      </c>
      <c r="C26" s="373">
        <v>17976.91</v>
      </c>
      <c r="D26" s="373">
        <v>13843.19</v>
      </c>
      <c r="E26" s="373">
        <v>12289.09</v>
      </c>
      <c r="F26" s="373">
        <v>30829.58</v>
      </c>
      <c r="G26" s="373">
        <v>16369.88</v>
      </c>
      <c r="H26" s="373">
        <v>23197.51</v>
      </c>
      <c r="I26" s="373">
        <v>48413.82</v>
      </c>
      <c r="J26" s="373">
        <v>37291.360000000001</v>
      </c>
      <c r="K26" s="373">
        <v>34645.35</v>
      </c>
      <c r="L26" s="373">
        <v>45272.61</v>
      </c>
      <c r="M26" s="294">
        <v>18300.88</v>
      </c>
      <c r="N26" s="542">
        <f t="shared" si="0"/>
        <v>314284.2</v>
      </c>
      <c r="O26" s="444">
        <f>SUM('TRT 2013'!B26:M26)</f>
        <v>312697.62</v>
      </c>
      <c r="P26" s="527">
        <f t="shared" si="1"/>
        <v>5.0738473800984174E-3</v>
      </c>
    </row>
    <row r="27" spans="1:16">
      <c r="A27" s="484" t="s">
        <v>36</v>
      </c>
      <c r="B27" s="373">
        <v>47624.01</v>
      </c>
      <c r="C27" s="373">
        <v>57493.07</v>
      </c>
      <c r="D27" s="373">
        <v>45430.99</v>
      </c>
      <c r="E27" s="373">
        <v>40412.129999999997</v>
      </c>
      <c r="F27" s="373">
        <v>67547.31</v>
      </c>
      <c r="G27" s="373">
        <v>59817.64</v>
      </c>
      <c r="H27" s="373">
        <v>81950.320000000007</v>
      </c>
      <c r="I27" s="373">
        <v>97359.7</v>
      </c>
      <c r="J27" s="373">
        <v>98491.55</v>
      </c>
      <c r="K27" s="373">
        <v>81702.320000000007</v>
      </c>
      <c r="L27" s="373">
        <v>94470.16</v>
      </c>
      <c r="M27" s="294">
        <v>59497.91</v>
      </c>
      <c r="N27" s="542">
        <f t="shared" si="0"/>
        <v>831797.1100000001</v>
      </c>
      <c r="O27" s="444">
        <f>SUM('TRT 2013'!B27:M27)</f>
        <v>874418.25</v>
      </c>
      <c r="P27" s="619">
        <f t="shared" si="1"/>
        <v>-4.8742280939355842E-2</v>
      </c>
    </row>
    <row r="28" spans="1:16">
      <c r="A28" s="484" t="s">
        <v>37</v>
      </c>
      <c r="B28" s="373">
        <v>143726.70000000001</v>
      </c>
      <c r="C28" s="373">
        <v>161851.62</v>
      </c>
      <c r="D28" s="373">
        <v>168775.19</v>
      </c>
      <c r="E28" s="373">
        <v>157652.66</v>
      </c>
      <c r="F28" s="373">
        <v>217966.05</v>
      </c>
      <c r="G28" s="373">
        <v>178206.52</v>
      </c>
      <c r="H28" s="373">
        <v>188752.06</v>
      </c>
      <c r="I28" s="373">
        <v>245708.35</v>
      </c>
      <c r="J28" s="373">
        <v>261458.97</v>
      </c>
      <c r="K28" s="373">
        <v>290581.19</v>
      </c>
      <c r="L28" s="373">
        <v>245174.99</v>
      </c>
      <c r="M28" s="294">
        <v>222910.45</v>
      </c>
      <c r="N28" s="542">
        <f t="shared" si="0"/>
        <v>2482764.75</v>
      </c>
      <c r="O28" s="444">
        <f>SUM('TRT 2013'!B28:M28)</f>
        <v>2322382.2699999996</v>
      </c>
      <c r="P28" s="527">
        <f t="shared" si="1"/>
        <v>6.9059466252298085E-2</v>
      </c>
    </row>
    <row r="29" spans="1:16">
      <c r="A29" s="484" t="s">
        <v>38</v>
      </c>
      <c r="B29" s="373">
        <v>22973.11</v>
      </c>
      <c r="C29" s="373">
        <v>158940.85</v>
      </c>
      <c r="D29" s="373">
        <v>241790.54</v>
      </c>
      <c r="E29" s="373">
        <v>196429.61</v>
      </c>
      <c r="F29" s="373">
        <v>217990.85</v>
      </c>
      <c r="G29" s="373">
        <v>55964.03</v>
      </c>
      <c r="H29" s="373">
        <v>29691.71</v>
      </c>
      <c r="I29" s="373">
        <v>90016.31</v>
      </c>
      <c r="J29" s="373">
        <v>123155.78</v>
      </c>
      <c r="K29" s="373">
        <v>104802.42</v>
      </c>
      <c r="L29" s="373">
        <v>87028.96</v>
      </c>
      <c r="M29" s="294">
        <v>53418.45</v>
      </c>
      <c r="N29" s="542">
        <f t="shared" si="0"/>
        <v>1382202.6199999999</v>
      </c>
      <c r="O29" s="444">
        <f>SUM('TRT 2013'!B29:M29)</f>
        <v>1334043.4299999997</v>
      </c>
      <c r="P29" s="527">
        <f t="shared" si="1"/>
        <v>3.6100166544053458E-2</v>
      </c>
    </row>
    <row r="30" spans="1:16">
      <c r="A30" s="484" t="s">
        <v>39</v>
      </c>
      <c r="B30" s="373">
        <v>241944.6</v>
      </c>
      <c r="C30" s="373">
        <v>242271.42</v>
      </c>
      <c r="D30" s="373">
        <v>198428.26</v>
      </c>
      <c r="E30" s="373">
        <v>263684.21000000002</v>
      </c>
      <c r="F30" s="373">
        <v>512349.34</v>
      </c>
      <c r="G30" s="373">
        <v>460732.12</v>
      </c>
      <c r="H30" s="373">
        <v>494439.54</v>
      </c>
      <c r="I30" s="373">
        <v>578081.94999999995</v>
      </c>
      <c r="J30" s="373">
        <v>466547.26</v>
      </c>
      <c r="K30" s="373">
        <v>516486.25</v>
      </c>
      <c r="L30" s="373">
        <v>618580.39</v>
      </c>
      <c r="M30" s="294">
        <v>457334.91</v>
      </c>
      <c r="N30" s="542">
        <f t="shared" si="0"/>
        <v>5050880.25</v>
      </c>
      <c r="O30" s="444">
        <f>SUM('TRT 2013'!B30:M30)</f>
        <v>4283067.05</v>
      </c>
      <c r="P30" s="527">
        <f t="shared" si="1"/>
        <v>0.17926714455707637</v>
      </c>
    </row>
    <row r="31" spans="1:16">
      <c r="A31" s="484" t="s">
        <v>40</v>
      </c>
      <c r="B31" s="373">
        <v>4199.01</v>
      </c>
      <c r="C31" s="373">
        <v>15442.15</v>
      </c>
      <c r="D31" s="373">
        <v>2272.54</v>
      </c>
      <c r="E31" s="373">
        <v>3555.62</v>
      </c>
      <c r="F31" s="373">
        <v>10576.53</v>
      </c>
      <c r="G31" s="373">
        <v>16377.98</v>
      </c>
      <c r="H31" s="373">
        <v>27758.43</v>
      </c>
      <c r="I31" s="373">
        <v>57314.07</v>
      </c>
      <c r="J31" s="373">
        <v>24506.240000000002</v>
      </c>
      <c r="K31" s="373">
        <v>33806.19</v>
      </c>
      <c r="L31" s="373">
        <v>55313.72</v>
      </c>
      <c r="M31" s="294">
        <v>19380.669999999998</v>
      </c>
      <c r="N31" s="542">
        <f t="shared" si="0"/>
        <v>270503.15000000002</v>
      </c>
      <c r="O31" s="444">
        <f>SUM('TRT 2013'!B31:M31)</f>
        <v>243249.22</v>
      </c>
      <c r="P31" s="527">
        <f t="shared" si="1"/>
        <v>0.11204118146812569</v>
      </c>
    </row>
    <row r="32" spans="1:16" ht="13" thickBot="1">
      <c r="A32" s="483" t="s">
        <v>41</v>
      </c>
      <c r="B32" s="371">
        <v>69242.97</v>
      </c>
      <c r="C32" s="371">
        <v>59149.53</v>
      </c>
      <c r="D32" s="371">
        <v>81141.070000000007</v>
      </c>
      <c r="E32" s="371">
        <v>65741.63</v>
      </c>
      <c r="F32" s="371">
        <v>117876.12</v>
      </c>
      <c r="G32" s="371">
        <v>108843.14</v>
      </c>
      <c r="H32" s="371">
        <v>73374.179999999993</v>
      </c>
      <c r="I32" s="371">
        <v>121445.44</v>
      </c>
      <c r="J32" s="371">
        <v>130491.22</v>
      </c>
      <c r="K32" s="371">
        <v>93776.69</v>
      </c>
      <c r="L32" s="371">
        <v>132718.74</v>
      </c>
      <c r="M32" s="99">
        <v>83455.039999999994</v>
      </c>
      <c r="N32" s="542">
        <f t="shared" si="0"/>
        <v>1137255.77</v>
      </c>
      <c r="O32" s="444">
        <f>SUM('TRT 2013'!B32:M32)</f>
        <v>1064037.27</v>
      </c>
      <c r="P32" s="527">
        <f t="shared" si="1"/>
        <v>6.8811969340134116E-2</v>
      </c>
    </row>
    <row r="33" spans="1:16" ht="13" thickBot="1">
      <c r="A33" s="250" t="s">
        <v>54</v>
      </c>
      <c r="B33" s="546">
        <f>SUM(B4:B32)</f>
        <v>2040188.1</v>
      </c>
      <c r="C33" s="141">
        <f t="shared" ref="C33:O33" si="2">SUM(C4:C32)</f>
        <v>3061080.9499999997</v>
      </c>
      <c r="D33" s="141">
        <f t="shared" si="2"/>
        <v>3786864.27</v>
      </c>
      <c r="E33" s="141">
        <f t="shared" si="2"/>
        <v>3755112.1889999998</v>
      </c>
      <c r="F33" s="141">
        <f t="shared" si="2"/>
        <v>4610471.8500000006</v>
      </c>
      <c r="G33" s="141">
        <f t="shared" si="2"/>
        <v>3184729.4600000004</v>
      </c>
      <c r="H33" s="141">
        <f t="shared" si="2"/>
        <v>3319492.52</v>
      </c>
      <c r="I33" s="141">
        <f t="shared" si="2"/>
        <v>4703551.1500000013</v>
      </c>
      <c r="J33" s="141">
        <f t="shared" si="2"/>
        <v>4022498.5099999993</v>
      </c>
      <c r="K33" s="141">
        <f t="shared" si="2"/>
        <v>4268382.0599999996</v>
      </c>
      <c r="L33" s="141">
        <f t="shared" si="2"/>
        <v>4792419.6500000004</v>
      </c>
      <c r="M33" s="547">
        <f t="shared" si="2"/>
        <v>3235258.0000000005</v>
      </c>
      <c r="N33" s="548">
        <f t="shared" si="2"/>
        <v>44780048.708999999</v>
      </c>
      <c r="O33" s="549">
        <f t="shared" si="2"/>
        <v>41020081.739000008</v>
      </c>
      <c r="P33" s="481">
        <f>N33/O33-1</f>
        <v>9.1661615740399327E-2</v>
      </c>
    </row>
    <row r="34" spans="1:16" ht="13" thickBot="1">
      <c r="A34" s="537" t="s">
        <v>265</v>
      </c>
      <c r="B34" s="538">
        <f>B33/'TRT 2013'!B33-1</f>
        <v>-3.6704860960954599E-2</v>
      </c>
      <c r="C34" s="538">
        <f>C33/'TRT 2013'!C33-1</f>
        <v>5.1375559223583611E-2</v>
      </c>
      <c r="D34" s="538">
        <f>D33/'TRT 2013'!D33-1</f>
        <v>7.2731019347021864E-2</v>
      </c>
      <c r="E34" s="538">
        <f>E33/'TRT 2013'!E33-1</f>
        <v>0.20098131378159634</v>
      </c>
      <c r="F34" s="538">
        <f>F33/'TRT 2013'!F33-1</f>
        <v>4.7523846740261444E-2</v>
      </c>
      <c r="G34" s="538">
        <f>G33/'TRT 2013'!G33-1</f>
        <v>8.7627514924542016E-2</v>
      </c>
      <c r="H34" s="538">
        <f>H33/'TRT 2013'!H33-1</f>
        <v>8.4840641289426033E-2</v>
      </c>
      <c r="I34" s="538">
        <f>I33/'TRT 2013'!I33-1</f>
        <v>0.10006214307072825</v>
      </c>
      <c r="J34" s="538">
        <f>J33/'TRT 2013'!J33-1</f>
        <v>7.2112530358819704E-2</v>
      </c>
      <c r="K34" s="538">
        <f>K33/'TRT 2013'!K33-1</f>
        <v>0.16357897449971492</v>
      </c>
      <c r="L34" s="538">
        <f>L33/'TRT 2013'!L33-1</f>
        <v>0.104108129811749</v>
      </c>
      <c r="M34" s="538">
        <f>M33/'TRT 2013'!M33-1</f>
        <v>0.11254075468455049</v>
      </c>
      <c r="N34" s="569"/>
      <c r="O34" s="570"/>
      <c r="P34" s="571"/>
    </row>
    <row r="35" spans="1:16" s="236" customFormat="1"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7"/>
      <c r="O35" s="236">
        <f>N33-O33</f>
        <v>3759966.9699999914</v>
      </c>
    </row>
    <row r="36" spans="1:16" ht="21">
      <c r="A36" s="691" t="s">
        <v>335</v>
      </c>
      <c r="B36" s="691"/>
      <c r="C36" s="691"/>
      <c r="D36" s="691"/>
      <c r="E36" s="691"/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</row>
    <row r="37" spans="1:16" ht="13" thickBot="1"/>
    <row r="38" spans="1:16" ht="13" thickBot="1">
      <c r="A38" s="129" t="s">
        <v>42</v>
      </c>
      <c r="B38" s="130" t="s">
        <v>2</v>
      </c>
      <c r="C38" s="131" t="s">
        <v>3</v>
      </c>
      <c r="D38" s="131" t="s">
        <v>4</v>
      </c>
      <c r="E38" s="131" t="s">
        <v>5</v>
      </c>
      <c r="F38" s="131" t="s">
        <v>6</v>
      </c>
      <c r="G38" s="131" t="s">
        <v>7</v>
      </c>
      <c r="H38" s="131" t="s">
        <v>8</v>
      </c>
      <c r="I38" s="131" t="s">
        <v>9</v>
      </c>
      <c r="J38" s="131" t="s">
        <v>10</v>
      </c>
      <c r="K38" s="131" t="s">
        <v>11</v>
      </c>
      <c r="L38" s="131" t="s">
        <v>12</v>
      </c>
      <c r="M38" s="398" t="s">
        <v>13</v>
      </c>
      <c r="N38" s="540" t="s">
        <v>127</v>
      </c>
      <c r="O38" s="472" t="s">
        <v>119</v>
      </c>
      <c r="P38" s="480" t="s">
        <v>16</v>
      </c>
    </row>
    <row r="39" spans="1:16" ht="13" thickBot="1">
      <c r="A39" s="40" t="s">
        <v>31</v>
      </c>
      <c r="B39" s="523">
        <v>104733.69</v>
      </c>
      <c r="C39" s="524">
        <v>123519.28</v>
      </c>
      <c r="D39" s="524">
        <v>194021.12</v>
      </c>
      <c r="E39" s="524">
        <v>173766.33</v>
      </c>
      <c r="F39" s="524">
        <v>208705</v>
      </c>
      <c r="G39" s="524">
        <v>161894</v>
      </c>
      <c r="H39" s="524">
        <v>146257.51</v>
      </c>
      <c r="I39" s="524">
        <v>182099.53</v>
      </c>
      <c r="J39" s="524">
        <v>161747.43</v>
      </c>
      <c r="K39" s="524">
        <v>195400.4</v>
      </c>
      <c r="L39" s="524">
        <v>188641.05</v>
      </c>
      <c r="M39" s="543">
        <v>146488.01999999999</v>
      </c>
      <c r="N39" s="545">
        <f>SUM(B39:M39)</f>
        <v>1987273.3599999999</v>
      </c>
      <c r="O39" s="544">
        <f>SUM('TRT 2013'!B39:M39)</f>
        <v>1867491.46</v>
      </c>
      <c r="P39" s="481">
        <f>N39/O39-1</f>
        <v>6.4140534275856753E-2</v>
      </c>
    </row>
    <row r="40" spans="1:16" ht="13" thickBot="1">
      <c r="A40" s="537" t="s">
        <v>265</v>
      </c>
      <c r="B40" s="538">
        <f>B39/'TRT 2013'!B39-1</f>
        <v>-8.7177372627686101E-2</v>
      </c>
      <c r="C40" s="538">
        <f>C39/'TRT 2013'!C39-1</f>
        <v>1.8273969395544709E-2</v>
      </c>
      <c r="D40" s="538">
        <f>D39/'TRT 2013'!D39-1</f>
        <v>3.6893020000557941E-2</v>
      </c>
      <c r="E40" s="538">
        <f>E39/'TRT 2013'!E39-1</f>
        <v>0.15741657459270075</v>
      </c>
      <c r="F40" s="538">
        <f>F39/'TRT 2013'!F39-1</f>
        <v>8.4878620221320311E-2</v>
      </c>
      <c r="G40" s="538">
        <f>G39/'TRT 2013'!G39-1</f>
        <v>3.9882747750809022E-2</v>
      </c>
      <c r="H40" s="538">
        <f>H39/'TRT 2013'!H39-1</f>
        <v>0.12746925250506957</v>
      </c>
      <c r="I40" s="538">
        <f>I39/'TRT 2013'!I39-1</f>
        <v>9.0532387787610524E-2</v>
      </c>
      <c r="J40" s="538">
        <f>J39/'TRT 2013'!J39-1</f>
        <v>-6.5119412301894664E-2</v>
      </c>
      <c r="K40" s="538">
        <f>K39/'TRT 2013'!K39-1</f>
        <v>0.18680950786742545</v>
      </c>
      <c r="L40" s="538">
        <f>L39/'TRT 2013'!L39-1</f>
        <v>0.1988461170350484</v>
      </c>
      <c r="M40" s="538">
        <f>M39/'TRT 2013'!M39-1</f>
        <v>-5.140964284368299E-2</v>
      </c>
      <c r="N40" s="572"/>
      <c r="O40" s="572"/>
      <c r="P40" s="573"/>
    </row>
    <row r="41" spans="1:16">
      <c r="N41" s="100"/>
    </row>
    <row r="42" spans="1:16">
      <c r="A42" s="188"/>
      <c r="M42" s="186"/>
      <c r="N42" s="100"/>
    </row>
    <row r="43" spans="1:16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6">
      <c r="H44" s="100"/>
    </row>
    <row r="45" spans="1:16">
      <c r="E45" s="222" t="s">
        <v>334</v>
      </c>
      <c r="G45" s="116"/>
      <c r="H45" s="100"/>
      <c r="I45" s="100"/>
    </row>
    <row r="46" spans="1:16">
      <c r="A46" s="208"/>
      <c r="B46" s="208"/>
      <c r="C46" s="208"/>
      <c r="D46" s="208"/>
      <c r="E46" s="208"/>
      <c r="F46" s="208"/>
      <c r="G46" s="209"/>
      <c r="H46" s="217"/>
      <c r="I46" s="208"/>
      <c r="J46" s="208"/>
      <c r="K46" s="208"/>
      <c r="L46" s="208"/>
      <c r="M46" s="208"/>
      <c r="N46" s="208"/>
    </row>
    <row r="47" spans="1:16">
      <c r="A47" s="210"/>
      <c r="B47" s="190"/>
      <c r="C47" s="190"/>
      <c r="D47" s="190"/>
      <c r="E47" s="190"/>
      <c r="F47" s="190"/>
      <c r="G47" s="190"/>
      <c r="H47" s="215"/>
      <c r="I47" s="190"/>
      <c r="J47" s="190"/>
      <c r="K47" s="190"/>
      <c r="L47" s="190"/>
      <c r="M47" s="190"/>
    </row>
    <row r="48" spans="1:16">
      <c r="A48" s="212"/>
      <c r="B48" s="213"/>
      <c r="C48" s="213"/>
      <c r="D48" s="213"/>
      <c r="E48" s="213"/>
      <c r="F48" s="213"/>
      <c r="G48" s="213"/>
      <c r="H48" s="213"/>
      <c r="I48" s="214"/>
      <c r="J48" s="212"/>
      <c r="K48" s="212"/>
      <c r="L48" s="212"/>
      <c r="M48" s="212"/>
      <c r="N48" s="212"/>
    </row>
    <row r="49" spans="7:7">
      <c r="G49" s="186"/>
    </row>
    <row r="50" spans="7:7">
      <c r="G50" s="193"/>
    </row>
    <row r="51" spans="7:7">
      <c r="G51" s="194"/>
    </row>
  </sheetData>
  <mergeCells count="2">
    <mergeCell ref="A1:P1"/>
    <mergeCell ref="A36:P36"/>
  </mergeCells>
  <printOptions horizontalCentered="1"/>
  <pageMargins left="0" right="0" top="0.5" bottom="0.5" header="0.5" footer="0.5"/>
  <pageSetup scale="88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 enableFormatConditionsCalculation="0">
    <tabColor rgb="FF0070C0"/>
    <pageSetUpPr fitToPage="1"/>
  </sheetPr>
  <dimension ref="A1:Q63"/>
  <sheetViews>
    <sheetView workbookViewId="0">
      <selection activeCell="B30" sqref="B30:M30"/>
    </sheetView>
  </sheetViews>
  <sheetFormatPr baseColWidth="10" defaultColWidth="8.83203125" defaultRowHeight="12" x14ac:dyDescent="0"/>
  <cols>
    <col min="1" max="1" width="11.33203125" bestFit="1" customWidth="1"/>
    <col min="2" max="6" width="9.6640625" customWidth="1"/>
    <col min="7" max="7" width="12" customWidth="1"/>
    <col min="8" max="13" width="9.6640625" customWidth="1"/>
    <col min="14" max="14" width="11.1640625" bestFit="1" customWidth="1"/>
    <col min="15" max="15" width="9.5" bestFit="1" customWidth="1"/>
    <col min="16" max="16" width="10.1640625" bestFit="1" customWidth="1"/>
    <col min="17" max="17" width="0" hidden="1" customWidth="1"/>
  </cols>
  <sheetData>
    <row r="1" spans="1:17" ht="21">
      <c r="A1" s="691" t="s">
        <v>126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17" ht="13" thickBot="1"/>
    <row r="3" spans="1:17" ht="13" thickBot="1">
      <c r="A3" s="129" t="s">
        <v>42</v>
      </c>
      <c r="B3" s="130" t="s">
        <v>2</v>
      </c>
      <c r="C3" s="131" t="s">
        <v>3</v>
      </c>
      <c r="D3" s="131" t="s">
        <v>4</v>
      </c>
      <c r="E3" s="131" t="s">
        <v>5</v>
      </c>
      <c r="F3" s="131" t="s">
        <v>6</v>
      </c>
      <c r="G3" s="131" t="s">
        <v>7</v>
      </c>
      <c r="H3" s="131" t="s">
        <v>8</v>
      </c>
      <c r="I3" s="131" t="s">
        <v>9</v>
      </c>
      <c r="J3" s="131" t="s">
        <v>10</v>
      </c>
      <c r="K3" s="131" t="s">
        <v>11</v>
      </c>
      <c r="L3" s="131" t="s">
        <v>12</v>
      </c>
      <c r="M3" s="132" t="s">
        <v>13</v>
      </c>
      <c r="N3" s="204" t="s">
        <v>127</v>
      </c>
      <c r="O3" s="131" t="s">
        <v>119</v>
      </c>
      <c r="P3" s="131" t="s">
        <v>16</v>
      </c>
      <c r="Q3" s="143"/>
    </row>
    <row r="4" spans="1:17">
      <c r="A4" s="231" t="s">
        <v>17</v>
      </c>
      <c r="B4" s="36">
        <v>6920.48</v>
      </c>
      <c r="C4" s="36">
        <v>26438.97</v>
      </c>
      <c r="D4" s="36">
        <v>7696.86</v>
      </c>
      <c r="E4" s="36">
        <v>6408.39</v>
      </c>
      <c r="F4" s="36">
        <v>28432.1</v>
      </c>
      <c r="G4" s="36">
        <v>8573.51</v>
      </c>
      <c r="H4" s="36">
        <v>13656.2</v>
      </c>
      <c r="I4" s="36">
        <v>33275.919999999998</v>
      </c>
      <c r="J4" s="36">
        <v>13058.82</v>
      </c>
      <c r="K4" s="36">
        <v>15560.61</v>
      </c>
      <c r="L4" s="36">
        <v>41218.11</v>
      </c>
      <c r="M4" s="69">
        <v>10791.81</v>
      </c>
      <c r="N4" s="205">
        <f t="shared" ref="N4:N32" si="0">SUM(B4:M4)</f>
        <v>212031.77999999997</v>
      </c>
      <c r="O4" s="19">
        <f>SUM('TRT 2012'!B4:M4)</f>
        <v>193564.55999999997</v>
      </c>
      <c r="P4" s="77">
        <f t="shared" ref="P4:P33" si="1">N4/O4-1</f>
        <v>9.5405997874817627E-2</v>
      </c>
      <c r="Q4" s="49" t="s">
        <v>17</v>
      </c>
    </row>
    <row r="5" spans="1:17">
      <c r="A5" s="232" t="s">
        <v>18</v>
      </c>
      <c r="B5" s="19">
        <v>12812.7</v>
      </c>
      <c r="C5" s="19">
        <v>16060.59</v>
      </c>
      <c r="D5" s="19">
        <v>10076.209999999999</v>
      </c>
      <c r="E5" s="19">
        <v>9796.74</v>
      </c>
      <c r="F5" s="19">
        <v>19418.27</v>
      </c>
      <c r="G5" s="19">
        <v>14106.63</v>
      </c>
      <c r="H5" s="19">
        <v>16198.08</v>
      </c>
      <c r="I5" s="19">
        <v>31031.16</v>
      </c>
      <c r="J5" s="19">
        <v>24493.03</v>
      </c>
      <c r="K5" s="19">
        <v>20974.84</v>
      </c>
      <c r="L5" s="19">
        <v>27352.9</v>
      </c>
      <c r="M5" s="69">
        <v>9572.4500000000007</v>
      </c>
      <c r="N5" s="203">
        <f t="shared" si="0"/>
        <v>211893.6</v>
      </c>
      <c r="O5" s="19">
        <f>SUM('TRT 2012'!B5:M5)</f>
        <v>186197.24000000002</v>
      </c>
      <c r="P5" s="77">
        <f t="shared" si="1"/>
        <v>0.13800612726590344</v>
      </c>
      <c r="Q5" s="49" t="s">
        <v>18</v>
      </c>
    </row>
    <row r="6" spans="1:17">
      <c r="A6" s="233" t="s">
        <v>19</v>
      </c>
      <c r="B6" s="19">
        <v>29964.27</v>
      </c>
      <c r="C6" s="19">
        <v>26384.6</v>
      </c>
      <c r="D6" s="19">
        <v>22901.73</v>
      </c>
      <c r="E6" s="19">
        <v>17463.43</v>
      </c>
      <c r="F6" s="19">
        <v>41107.839999999997</v>
      </c>
      <c r="G6" s="19">
        <v>45753.31</v>
      </c>
      <c r="H6" s="19">
        <v>35194.949999999997</v>
      </c>
      <c r="I6" s="19">
        <v>40422.74</v>
      </c>
      <c r="J6" s="19">
        <v>48640.38</v>
      </c>
      <c r="K6" s="19">
        <v>50229.84</v>
      </c>
      <c r="L6" s="19">
        <v>54402.95</v>
      </c>
      <c r="M6" s="69">
        <v>34410.82</v>
      </c>
      <c r="N6" s="203">
        <f t="shared" si="0"/>
        <v>446876.86</v>
      </c>
      <c r="O6" s="19">
        <f>SUM('TRT 2012'!B6:M6)</f>
        <v>372635.70999999996</v>
      </c>
      <c r="P6" s="77">
        <f t="shared" si="1"/>
        <v>0.19923251585308344</v>
      </c>
      <c r="Q6" s="49" t="s">
        <v>19</v>
      </c>
    </row>
    <row r="7" spans="1:17">
      <c r="A7" s="233" t="s">
        <v>20</v>
      </c>
      <c r="B7" s="19">
        <v>14076.77</v>
      </c>
      <c r="C7" s="19">
        <v>12942.53</v>
      </c>
      <c r="D7" s="19">
        <v>12002.4</v>
      </c>
      <c r="E7" s="19">
        <v>13350.87</v>
      </c>
      <c r="F7" s="19">
        <v>16419.2</v>
      </c>
      <c r="G7" s="19">
        <v>20882.46</v>
      </c>
      <c r="H7" s="19">
        <v>23642.09</v>
      </c>
      <c r="I7" s="19">
        <v>26350.57</v>
      </c>
      <c r="J7" s="19">
        <v>24605.38</v>
      </c>
      <c r="K7" s="19">
        <v>22376.76</v>
      </c>
      <c r="L7" s="19">
        <v>29871.61</v>
      </c>
      <c r="M7" s="69">
        <v>25520.15</v>
      </c>
      <c r="N7" s="203">
        <f t="shared" si="0"/>
        <v>242040.79</v>
      </c>
      <c r="O7" s="19">
        <f>SUM('TRT 2012'!B7:M7)</f>
        <v>270276.05000000005</v>
      </c>
      <c r="P7" s="77">
        <f t="shared" si="1"/>
        <v>-0.10446822794694544</v>
      </c>
      <c r="Q7" s="49" t="s">
        <v>20</v>
      </c>
    </row>
    <row r="8" spans="1:17">
      <c r="A8" s="233" t="s">
        <v>21</v>
      </c>
      <c r="B8" s="19">
        <v>1450.98</v>
      </c>
      <c r="C8" s="19">
        <v>2506.58</v>
      </c>
      <c r="D8" s="19">
        <v>927.92</v>
      </c>
      <c r="E8" s="19">
        <v>1118.83</v>
      </c>
      <c r="F8" s="19">
        <v>4332.41</v>
      </c>
      <c r="G8" s="19">
        <v>3655.46</v>
      </c>
      <c r="H8" s="19">
        <v>4996.58</v>
      </c>
      <c r="I8" s="19">
        <v>14987.59</v>
      </c>
      <c r="J8" s="19">
        <v>13030.8</v>
      </c>
      <c r="K8" s="19">
        <v>6024.37</v>
      </c>
      <c r="L8" s="19">
        <v>14968.89</v>
      </c>
      <c r="M8" s="69">
        <v>3440.5889999999999</v>
      </c>
      <c r="N8" s="203">
        <f t="shared" si="0"/>
        <v>71440.999000000011</v>
      </c>
      <c r="O8" s="19">
        <f>SUM('TRT 2012'!B8:M8)</f>
        <v>66496.97</v>
      </c>
      <c r="P8" s="77">
        <f t="shared" si="1"/>
        <v>7.4349688414374615E-2</v>
      </c>
      <c r="Q8" s="49" t="s">
        <v>21</v>
      </c>
    </row>
    <row r="9" spans="1:17">
      <c r="A9" s="233" t="s">
        <v>22</v>
      </c>
      <c r="B9" s="19">
        <v>52193.91</v>
      </c>
      <c r="C9" s="19">
        <v>61329.760000000002</v>
      </c>
      <c r="D9" s="19">
        <v>89142.43</v>
      </c>
      <c r="E9" s="19">
        <v>57835.67</v>
      </c>
      <c r="F9" s="19">
        <v>82876.929999999993</v>
      </c>
      <c r="G9" s="19">
        <v>78238.009999999995</v>
      </c>
      <c r="H9" s="19">
        <v>133702.32</v>
      </c>
      <c r="I9" s="19">
        <v>90851.1</v>
      </c>
      <c r="J9" s="19">
        <v>127251.53</v>
      </c>
      <c r="K9" s="19">
        <v>137285.18</v>
      </c>
      <c r="L9" s="19">
        <v>103249.41</v>
      </c>
      <c r="M9" s="69">
        <v>87721.64</v>
      </c>
      <c r="N9" s="203">
        <f t="shared" si="0"/>
        <v>1101677.8900000001</v>
      </c>
      <c r="O9" s="19">
        <f>SUM('TRT 2012'!B9:M9)</f>
        <v>1070136.73</v>
      </c>
      <c r="P9" s="77">
        <f t="shared" si="1"/>
        <v>2.9473953295669153E-2</v>
      </c>
      <c r="Q9" s="49" t="s">
        <v>22</v>
      </c>
    </row>
    <row r="10" spans="1:17">
      <c r="A10" s="233" t="s">
        <v>23</v>
      </c>
      <c r="B10" s="19">
        <v>5914.99</v>
      </c>
      <c r="C10" s="19">
        <v>6601.41</v>
      </c>
      <c r="D10" s="19">
        <v>5774.13</v>
      </c>
      <c r="E10" s="19">
        <v>2337.1</v>
      </c>
      <c r="F10" s="19">
        <v>6264.15</v>
      </c>
      <c r="G10" s="19">
        <v>4598.1499999999996</v>
      </c>
      <c r="H10" s="19">
        <v>5300.59</v>
      </c>
      <c r="I10" s="19">
        <v>32827.85</v>
      </c>
      <c r="J10" s="19">
        <v>7266.36</v>
      </c>
      <c r="K10" s="19">
        <v>7370.82</v>
      </c>
      <c r="L10" s="19">
        <v>12940.77</v>
      </c>
      <c r="M10" s="69">
        <v>3160.46</v>
      </c>
      <c r="N10" s="203">
        <f t="shared" si="0"/>
        <v>100356.78</v>
      </c>
      <c r="O10" s="19">
        <f>SUM('TRT 2012'!B10:M10)</f>
        <v>104768.98</v>
      </c>
      <c r="P10" s="77">
        <f t="shared" si="1"/>
        <v>-4.2113610345352215E-2</v>
      </c>
      <c r="Q10" s="49" t="s">
        <v>23</v>
      </c>
    </row>
    <row r="11" spans="1:17">
      <c r="A11" s="233" t="s">
        <v>51</v>
      </c>
      <c r="B11" s="111">
        <v>10867.07</v>
      </c>
      <c r="C11" s="111">
        <v>10511.54</v>
      </c>
      <c r="D11" s="111">
        <v>8329.44</v>
      </c>
      <c r="E11" s="111">
        <v>8392.09</v>
      </c>
      <c r="F11" s="111">
        <v>22590.25</v>
      </c>
      <c r="G11" s="111">
        <v>29756.87</v>
      </c>
      <c r="H11" s="111">
        <v>33499.57</v>
      </c>
      <c r="I11" s="111">
        <v>34682.1</v>
      </c>
      <c r="J11" s="111">
        <v>51099.16</v>
      </c>
      <c r="K11" s="111">
        <v>47470.07</v>
      </c>
      <c r="L11" s="111">
        <v>34053.19</v>
      </c>
      <c r="M11" s="230">
        <v>25728.76</v>
      </c>
      <c r="N11" s="203">
        <f t="shared" si="0"/>
        <v>316980.11</v>
      </c>
      <c r="O11" s="19">
        <f>SUM('TRT 2012'!B11:M11)</f>
        <v>303709.90999999997</v>
      </c>
      <c r="P11" s="77">
        <f t="shared" si="1"/>
        <v>4.3693668079517023E-2</v>
      </c>
      <c r="Q11" s="49" t="s">
        <v>51</v>
      </c>
    </row>
    <row r="12" spans="1:17">
      <c r="A12" s="233" t="s">
        <v>24</v>
      </c>
      <c r="B12" s="111">
        <v>41915.72</v>
      </c>
      <c r="C12" s="111">
        <v>42937.95</v>
      </c>
      <c r="D12" s="111">
        <v>8198.31</v>
      </c>
      <c r="E12" s="111">
        <v>14568.05</v>
      </c>
      <c r="F12" s="111">
        <v>53834.79</v>
      </c>
      <c r="G12" s="111">
        <v>73361.679999999993</v>
      </c>
      <c r="H12" s="111">
        <v>165531.12</v>
      </c>
      <c r="I12" s="111">
        <v>237567.73</v>
      </c>
      <c r="J12" s="111">
        <v>164815.98000000001</v>
      </c>
      <c r="K12" s="111">
        <v>85032.48</v>
      </c>
      <c r="L12" s="111">
        <v>357222.47</v>
      </c>
      <c r="M12" s="230">
        <v>92516.53</v>
      </c>
      <c r="N12" s="203">
        <f t="shared" si="0"/>
        <v>1337502.8099999998</v>
      </c>
      <c r="O12" s="19">
        <f>SUM('TRT 2012'!B12:M12)</f>
        <v>1161530.49</v>
      </c>
      <c r="P12" s="77">
        <f t="shared" si="1"/>
        <v>0.15150038807849109</v>
      </c>
      <c r="Q12" s="49" t="s">
        <v>24</v>
      </c>
    </row>
    <row r="13" spans="1:17">
      <c r="A13" s="233" t="s">
        <v>25</v>
      </c>
      <c r="B13" s="111">
        <v>66297.62</v>
      </c>
      <c r="C13" s="111">
        <v>63274.59</v>
      </c>
      <c r="D13" s="111">
        <v>29320.99</v>
      </c>
      <c r="E13" s="111">
        <v>48499.99</v>
      </c>
      <c r="F13" s="111">
        <v>253167.95</v>
      </c>
      <c r="G13" s="111">
        <v>256673.91</v>
      </c>
      <c r="H13" s="111">
        <v>336689.98</v>
      </c>
      <c r="I13" s="111">
        <v>416713.56</v>
      </c>
      <c r="J13" s="111">
        <v>300775.23</v>
      </c>
      <c r="K13" s="111">
        <v>295276.39</v>
      </c>
      <c r="L13" s="111">
        <v>444333.05</v>
      </c>
      <c r="M13" s="230">
        <v>290224.56</v>
      </c>
      <c r="N13" s="203">
        <f t="shared" si="0"/>
        <v>2801247.82</v>
      </c>
      <c r="O13" s="19">
        <f>SUM('TRT 2012'!B13:M13)</f>
        <v>1867015.6</v>
      </c>
      <c r="P13" s="77">
        <f t="shared" si="1"/>
        <v>0.50038800961277441</v>
      </c>
      <c r="Q13" s="49" t="s">
        <v>25</v>
      </c>
    </row>
    <row r="14" spans="1:17">
      <c r="A14" s="233" t="s">
        <v>26</v>
      </c>
      <c r="B14" s="111">
        <v>40917.870000000003</v>
      </c>
      <c r="C14" s="111">
        <v>71535.28</v>
      </c>
      <c r="D14" s="111">
        <v>47284.7</v>
      </c>
      <c r="E14" s="111">
        <v>62940.01</v>
      </c>
      <c r="F14" s="111">
        <v>86374.42</v>
      </c>
      <c r="G14" s="111">
        <v>66272.44</v>
      </c>
      <c r="H14" s="111">
        <v>57676.84</v>
      </c>
      <c r="I14" s="111">
        <v>100970.73</v>
      </c>
      <c r="J14" s="111">
        <v>125629.21</v>
      </c>
      <c r="K14" s="111">
        <v>103242.13</v>
      </c>
      <c r="L14" s="111">
        <v>127571.13</v>
      </c>
      <c r="M14" s="230">
        <v>39580.21</v>
      </c>
      <c r="N14" s="203">
        <f t="shared" si="0"/>
        <v>929994.96999999986</v>
      </c>
      <c r="O14" s="19">
        <f>SUM('TRT 2012'!B14:M14)</f>
        <v>908439.44000000006</v>
      </c>
      <c r="P14" s="77">
        <f t="shared" si="1"/>
        <v>2.3728086926740888E-2</v>
      </c>
      <c r="Q14" s="49" t="s">
        <v>26</v>
      </c>
    </row>
    <row r="15" spans="1:17">
      <c r="A15" s="233" t="s">
        <v>27</v>
      </c>
      <c r="B15" s="111">
        <v>2240.08</v>
      </c>
      <c r="C15" s="111">
        <v>10894.36</v>
      </c>
      <c r="D15" s="111">
        <v>2959.34</v>
      </c>
      <c r="E15" s="111">
        <v>1532.02</v>
      </c>
      <c r="F15" s="111">
        <v>9711.17</v>
      </c>
      <c r="G15" s="111">
        <v>2897.94</v>
      </c>
      <c r="H15" s="111">
        <v>3335.15</v>
      </c>
      <c r="I15" s="111">
        <v>14607.67</v>
      </c>
      <c r="J15" s="111">
        <v>4276.3</v>
      </c>
      <c r="K15" s="111">
        <v>2806.92</v>
      </c>
      <c r="L15" s="111">
        <v>15852.13</v>
      </c>
      <c r="M15" s="230">
        <v>2562.4499999999998</v>
      </c>
      <c r="N15" s="203">
        <f t="shared" si="0"/>
        <v>73675.53</v>
      </c>
      <c r="O15" s="19">
        <f>SUM('TRT 2012'!B15:M15)</f>
        <v>72538.17</v>
      </c>
      <c r="P15" s="77">
        <f t="shared" si="1"/>
        <v>1.5679469167749982E-2</v>
      </c>
      <c r="Q15" s="49" t="s">
        <v>27</v>
      </c>
    </row>
    <row r="16" spans="1:17">
      <c r="A16" s="233" t="s">
        <v>28</v>
      </c>
      <c r="B16" s="111">
        <v>64897.33</v>
      </c>
      <c r="C16" s="111">
        <v>90352.93</v>
      </c>
      <c r="D16" s="111">
        <v>48425.5</v>
      </c>
      <c r="E16" s="111">
        <v>23431.25</v>
      </c>
      <c r="F16" s="111">
        <v>92874.98</v>
      </c>
      <c r="G16" s="111">
        <v>133406.56</v>
      </c>
      <c r="H16" s="111">
        <v>140241.84</v>
      </c>
      <c r="I16" s="111">
        <v>216161.47</v>
      </c>
      <c r="J16" s="111">
        <v>132239.20000000001</v>
      </c>
      <c r="K16" s="111">
        <v>177818.23</v>
      </c>
      <c r="L16" s="111">
        <v>231786.71</v>
      </c>
      <c r="M16" s="230">
        <v>107905.09</v>
      </c>
      <c r="N16" s="203">
        <f t="shared" si="0"/>
        <v>1459541.09</v>
      </c>
      <c r="O16" s="19">
        <f>SUM('TRT 2012'!B16:M16)</f>
        <v>1336607.73</v>
      </c>
      <c r="P16" s="77">
        <f t="shared" si="1"/>
        <v>9.1974150112090092E-2</v>
      </c>
      <c r="Q16" s="49" t="s">
        <v>28</v>
      </c>
    </row>
    <row r="17" spans="1:17">
      <c r="A17" s="233" t="s">
        <v>52</v>
      </c>
      <c r="B17" s="111">
        <v>7490.94</v>
      </c>
      <c r="C17" s="111">
        <v>9525.5400000000009</v>
      </c>
      <c r="D17" s="111">
        <v>4900.03</v>
      </c>
      <c r="E17" s="111">
        <v>3596.28</v>
      </c>
      <c r="F17" s="111">
        <v>12471.16</v>
      </c>
      <c r="G17" s="111">
        <v>9102.65</v>
      </c>
      <c r="H17" s="111">
        <v>11239.9</v>
      </c>
      <c r="I17" s="111">
        <v>17730.45</v>
      </c>
      <c r="J17" s="111">
        <v>9731.49</v>
      </c>
      <c r="K17" s="111">
        <v>8535.31</v>
      </c>
      <c r="L17" s="111">
        <v>17059.28</v>
      </c>
      <c r="M17" s="230">
        <v>7650.49</v>
      </c>
      <c r="N17" s="203">
        <f t="shared" si="0"/>
        <v>119033.52</v>
      </c>
      <c r="O17" s="19">
        <f>SUM('TRT 2012'!B17:M17)</f>
        <v>109695.51000000001</v>
      </c>
      <c r="P17" s="77">
        <f t="shared" si="1"/>
        <v>8.5126638273526289E-2</v>
      </c>
      <c r="Q17" s="49" t="s">
        <v>52</v>
      </c>
    </row>
    <row r="18" spans="1:17">
      <c r="A18" s="233" t="s">
        <v>29</v>
      </c>
      <c r="B18" s="111">
        <v>23.9</v>
      </c>
      <c r="C18" s="111">
        <v>326.04000000000002</v>
      </c>
      <c r="D18" s="111">
        <v>50.13</v>
      </c>
      <c r="E18" s="111">
        <v>115.46</v>
      </c>
      <c r="F18" s="111">
        <v>69.66</v>
      </c>
      <c r="G18" s="111">
        <v>468.57</v>
      </c>
      <c r="H18" s="111">
        <v>821.38</v>
      </c>
      <c r="I18" s="111">
        <v>1080.78</v>
      </c>
      <c r="J18" s="111">
        <v>860.12</v>
      </c>
      <c r="K18" s="111">
        <v>291.92</v>
      </c>
      <c r="L18" s="111">
        <v>235.35</v>
      </c>
      <c r="M18" s="230">
        <v>84.69</v>
      </c>
      <c r="N18" s="203">
        <f t="shared" si="0"/>
        <v>4428</v>
      </c>
      <c r="O18" s="19">
        <f>SUM('TRT 2012'!B18:M18)</f>
        <v>4434.29</v>
      </c>
      <c r="P18" s="77">
        <f t="shared" si="1"/>
        <v>-1.4184908970771293E-3</v>
      </c>
      <c r="Q18" s="49" t="s">
        <v>29</v>
      </c>
    </row>
    <row r="19" spans="1:17">
      <c r="A19" s="233" t="s">
        <v>53</v>
      </c>
      <c r="B19" s="111">
        <v>606.6</v>
      </c>
      <c r="C19" s="111">
        <v>1577.13</v>
      </c>
      <c r="D19" s="111">
        <v>148.75</v>
      </c>
      <c r="E19" s="111">
        <v>403.3</v>
      </c>
      <c r="F19" s="111">
        <v>330.24</v>
      </c>
      <c r="G19" s="111">
        <v>338.07</v>
      </c>
      <c r="H19" s="111">
        <v>1454.47</v>
      </c>
      <c r="I19" s="111">
        <v>5764.66</v>
      </c>
      <c r="J19" s="111">
        <v>123.47</v>
      </c>
      <c r="K19" s="111">
        <v>3181.22</v>
      </c>
      <c r="L19" s="111">
        <v>8761.4599999999991</v>
      </c>
      <c r="M19" s="230">
        <v>222.55</v>
      </c>
      <c r="N19" s="203">
        <f t="shared" si="0"/>
        <v>22911.919999999998</v>
      </c>
      <c r="O19" s="19">
        <f>SUM('TRT 2012'!B19:M19)</f>
        <v>18057.010000000006</v>
      </c>
      <c r="P19" s="77">
        <f t="shared" si="1"/>
        <v>0.26886566491351505</v>
      </c>
      <c r="Q19" s="49" t="s">
        <v>53</v>
      </c>
    </row>
    <row r="20" spans="1:17">
      <c r="A20" s="233" t="s">
        <v>30</v>
      </c>
      <c r="B20" s="111">
        <v>2152.87</v>
      </c>
      <c r="C20" s="111">
        <v>6512.42</v>
      </c>
      <c r="D20" s="111">
        <v>761</v>
      </c>
      <c r="E20" s="111">
        <v>4967.96</v>
      </c>
      <c r="F20" s="111">
        <v>5489.46</v>
      </c>
      <c r="G20" s="111">
        <v>1846.07</v>
      </c>
      <c r="H20" s="111">
        <v>6470.8</v>
      </c>
      <c r="I20" s="111">
        <v>31543.13</v>
      </c>
      <c r="J20" s="111">
        <v>34350.78</v>
      </c>
      <c r="K20" s="111">
        <v>15934.05</v>
      </c>
      <c r="L20" s="111">
        <v>42277.62</v>
      </c>
      <c r="M20" s="230">
        <v>547.41999999999996</v>
      </c>
      <c r="N20" s="203">
        <f t="shared" si="0"/>
        <v>152853.58000000002</v>
      </c>
      <c r="O20" s="19">
        <f>SUM('TRT 2012'!B20:M20)</f>
        <v>169841.58000000002</v>
      </c>
      <c r="P20" s="77">
        <f t="shared" si="1"/>
        <v>-0.10002262108018545</v>
      </c>
      <c r="Q20" s="49" t="s">
        <v>30</v>
      </c>
    </row>
    <row r="21" spans="1:17">
      <c r="A21" s="233" t="s">
        <v>31</v>
      </c>
      <c r="B21" s="111">
        <v>828968.41</v>
      </c>
      <c r="C21" s="111">
        <v>876412.24</v>
      </c>
      <c r="D21" s="111">
        <v>1351926</v>
      </c>
      <c r="E21" s="111">
        <v>1084710.08</v>
      </c>
      <c r="F21" s="111">
        <v>1389919.23</v>
      </c>
      <c r="G21" s="111">
        <v>1124823.1599999999</v>
      </c>
      <c r="H21" s="111">
        <v>937240.62</v>
      </c>
      <c r="I21" s="111">
        <v>1206447.47</v>
      </c>
      <c r="J21" s="111">
        <v>1250026.01</v>
      </c>
      <c r="K21" s="111">
        <v>1189548.81</v>
      </c>
      <c r="L21" s="111">
        <v>1136869.3700000001</v>
      </c>
      <c r="M21" s="230">
        <v>1115735.5</v>
      </c>
      <c r="N21" s="203">
        <f t="shared" si="0"/>
        <v>13492626.900000002</v>
      </c>
      <c r="O21" s="19">
        <f>SUM('TRT 2012'!B21:M21)</f>
        <v>12580758.02</v>
      </c>
      <c r="P21" s="77">
        <f t="shared" si="1"/>
        <v>7.2481235117182852E-2</v>
      </c>
      <c r="Q21" s="49" t="s">
        <v>31</v>
      </c>
    </row>
    <row r="22" spans="1:17">
      <c r="A22" s="233" t="s">
        <v>45</v>
      </c>
      <c r="B22" s="111">
        <v>14299.55</v>
      </c>
      <c r="C22" s="111">
        <v>25349.32</v>
      </c>
      <c r="D22" s="111">
        <v>4598.17</v>
      </c>
      <c r="E22" s="111">
        <v>12946.66</v>
      </c>
      <c r="F22" s="111">
        <v>41726.07</v>
      </c>
      <c r="G22" s="111">
        <v>33699.75</v>
      </c>
      <c r="H22" s="111">
        <v>62553.03</v>
      </c>
      <c r="I22" s="111">
        <v>83520.479999999996</v>
      </c>
      <c r="J22" s="111">
        <v>70300.91</v>
      </c>
      <c r="K22" s="111">
        <v>68951.03</v>
      </c>
      <c r="L22" s="111">
        <v>99563.15</v>
      </c>
      <c r="M22" s="230">
        <v>37978.54</v>
      </c>
      <c r="N22" s="203">
        <f t="shared" si="0"/>
        <v>555486.66</v>
      </c>
      <c r="O22" s="19">
        <f>SUM('TRT 2012'!B22:M22)</f>
        <v>533341.04</v>
      </c>
      <c r="P22" s="77">
        <f t="shared" si="1"/>
        <v>4.1522437500778109E-2</v>
      </c>
      <c r="Q22" s="49" t="s">
        <v>45</v>
      </c>
    </row>
    <row r="23" spans="1:17">
      <c r="A23" s="233" t="s">
        <v>32</v>
      </c>
      <c r="B23" s="111">
        <v>8915.59</v>
      </c>
      <c r="C23" s="111">
        <v>8092.05</v>
      </c>
      <c r="D23" s="111">
        <v>654.63</v>
      </c>
      <c r="E23" s="111">
        <v>1059.71</v>
      </c>
      <c r="F23" s="111">
        <v>11903.05</v>
      </c>
      <c r="G23" s="111">
        <v>2980.31</v>
      </c>
      <c r="H23" s="111">
        <v>3864.32</v>
      </c>
      <c r="I23" s="111">
        <v>21772.67</v>
      </c>
      <c r="J23" s="111">
        <v>3515.32</v>
      </c>
      <c r="K23" s="111">
        <v>10026.67</v>
      </c>
      <c r="L23" s="111">
        <v>14263.36</v>
      </c>
      <c r="M23" s="230">
        <v>3317.6</v>
      </c>
      <c r="N23" s="203">
        <f t="shared" si="0"/>
        <v>90365.28</v>
      </c>
      <c r="O23" s="19">
        <f>SUM('TRT 2012'!B23:M23)</f>
        <v>86857.08</v>
      </c>
      <c r="P23" s="77">
        <f t="shared" si="1"/>
        <v>4.0390489756275461E-2</v>
      </c>
      <c r="Q23" s="49" t="s">
        <v>32</v>
      </c>
    </row>
    <row r="24" spans="1:17">
      <c r="A24" s="233" t="s">
        <v>33</v>
      </c>
      <c r="B24" s="111">
        <v>19737.82</v>
      </c>
      <c r="C24" s="111">
        <v>22111.77</v>
      </c>
      <c r="D24" s="111">
        <v>20677.62</v>
      </c>
      <c r="E24" s="111">
        <v>20398.599999999999</v>
      </c>
      <c r="F24" s="111">
        <v>28685.93</v>
      </c>
      <c r="G24" s="111">
        <v>28550.57</v>
      </c>
      <c r="H24" s="111">
        <v>46598.06</v>
      </c>
      <c r="I24" s="111">
        <v>58384.24</v>
      </c>
      <c r="J24" s="111">
        <v>52976.22</v>
      </c>
      <c r="K24" s="111">
        <v>45886.33</v>
      </c>
      <c r="L24" s="111">
        <v>59681.15</v>
      </c>
      <c r="M24" s="230">
        <v>28564.13</v>
      </c>
      <c r="N24" s="203">
        <f t="shared" si="0"/>
        <v>432252.44</v>
      </c>
      <c r="O24" s="19">
        <f>SUM('TRT 2012'!B24:M24)</f>
        <v>409278.16</v>
      </c>
      <c r="P24" s="77">
        <f t="shared" si="1"/>
        <v>5.6133657363979683E-2</v>
      </c>
      <c r="Q24" s="49" t="s">
        <v>33</v>
      </c>
    </row>
    <row r="25" spans="1:17">
      <c r="A25" s="233" t="s">
        <v>34</v>
      </c>
      <c r="B25" s="111">
        <v>267661.75</v>
      </c>
      <c r="C25" s="111">
        <v>805344.7</v>
      </c>
      <c r="D25" s="111">
        <v>1177297.8700000001</v>
      </c>
      <c r="E25" s="111">
        <v>1191710.3</v>
      </c>
      <c r="F25" s="111">
        <v>1129415.6299999999</v>
      </c>
      <c r="G25" s="111">
        <v>221618.7</v>
      </c>
      <c r="H25" s="111">
        <v>124208.93</v>
      </c>
      <c r="I25" s="111">
        <v>320447.84000000003</v>
      </c>
      <c r="J25" s="111">
        <v>353583.57</v>
      </c>
      <c r="K25" s="111">
        <v>320738.23</v>
      </c>
      <c r="L25" s="111">
        <v>310038.94</v>
      </c>
      <c r="M25" s="230">
        <v>188900.84</v>
      </c>
      <c r="N25" s="203">
        <f t="shared" si="0"/>
        <v>6410967.2999999998</v>
      </c>
      <c r="O25" s="19">
        <f>SUM('TRT 2012'!B25:M25)</f>
        <v>5693850.5499999998</v>
      </c>
      <c r="P25" s="77">
        <f t="shared" si="1"/>
        <v>0.12594583291266748</v>
      </c>
      <c r="Q25" s="49" t="s">
        <v>34</v>
      </c>
    </row>
    <row r="26" spans="1:17">
      <c r="A26" s="233" t="s">
        <v>35</v>
      </c>
      <c r="B26" s="111">
        <v>23555.39</v>
      </c>
      <c r="C26" s="111">
        <v>17842.59</v>
      </c>
      <c r="D26" s="111">
        <v>16868.12</v>
      </c>
      <c r="E26" s="111">
        <v>11221.46</v>
      </c>
      <c r="F26" s="111">
        <v>23742.67</v>
      </c>
      <c r="G26" s="111">
        <v>19404.72</v>
      </c>
      <c r="H26" s="111">
        <v>18406.849999999999</v>
      </c>
      <c r="I26" s="111">
        <v>39579.43</v>
      </c>
      <c r="J26" s="111">
        <v>25912.79</v>
      </c>
      <c r="K26" s="111">
        <v>36893.07</v>
      </c>
      <c r="L26" s="111">
        <v>44505.46</v>
      </c>
      <c r="M26" s="230">
        <v>34765.07</v>
      </c>
      <c r="N26" s="203">
        <f t="shared" si="0"/>
        <v>312697.62</v>
      </c>
      <c r="O26" s="19">
        <f>SUM('TRT 2012'!B26:M26)</f>
        <v>285998.37</v>
      </c>
      <c r="P26" s="77">
        <f t="shared" si="1"/>
        <v>9.3354553034690424E-2</v>
      </c>
      <c r="Q26" s="49" t="s">
        <v>35</v>
      </c>
    </row>
    <row r="27" spans="1:17">
      <c r="A27" s="233" t="s">
        <v>36</v>
      </c>
      <c r="B27" s="111">
        <v>63237.35</v>
      </c>
      <c r="C27" s="111">
        <v>41355.49</v>
      </c>
      <c r="D27" s="111">
        <v>64502.62</v>
      </c>
      <c r="E27" s="111">
        <v>40263.089999999997</v>
      </c>
      <c r="F27" s="111">
        <v>63930.79</v>
      </c>
      <c r="G27" s="111">
        <v>56799.57</v>
      </c>
      <c r="H27" s="111">
        <v>75365.84</v>
      </c>
      <c r="I27" s="111">
        <v>110603.29</v>
      </c>
      <c r="J27" s="111">
        <v>83002.8</v>
      </c>
      <c r="K27" s="111">
        <v>79717.66</v>
      </c>
      <c r="L27" s="111">
        <v>121123.03</v>
      </c>
      <c r="M27" s="230">
        <v>74516.72</v>
      </c>
      <c r="N27" s="203">
        <f t="shared" si="0"/>
        <v>874418.25</v>
      </c>
      <c r="O27" s="19">
        <f>SUM('TRT 2012'!B27:M27)</f>
        <v>897449.1</v>
      </c>
      <c r="P27" s="77">
        <f t="shared" si="1"/>
        <v>-2.5662569609797292E-2</v>
      </c>
      <c r="Q27" s="49" t="s">
        <v>36</v>
      </c>
    </row>
    <row r="28" spans="1:17">
      <c r="A28" s="233" t="s">
        <v>37</v>
      </c>
      <c r="B28" s="111">
        <v>109387.6</v>
      </c>
      <c r="C28" s="111">
        <v>170831.9</v>
      </c>
      <c r="D28" s="111">
        <v>152490.39000000001</v>
      </c>
      <c r="E28" s="111">
        <v>161023.32</v>
      </c>
      <c r="F28" s="111">
        <v>186526.72</v>
      </c>
      <c r="G28" s="111">
        <v>155665.64000000001</v>
      </c>
      <c r="H28" s="111">
        <v>208677.42</v>
      </c>
      <c r="I28" s="111">
        <v>263141.5</v>
      </c>
      <c r="J28" s="111">
        <v>244629.94</v>
      </c>
      <c r="K28" s="111">
        <v>238846.52</v>
      </c>
      <c r="L28" s="111">
        <v>237410.02</v>
      </c>
      <c r="M28" s="230">
        <v>193751.3</v>
      </c>
      <c r="N28" s="203">
        <f t="shared" si="0"/>
        <v>2322382.2699999996</v>
      </c>
      <c r="O28" s="19">
        <f>SUM('TRT 2012'!B28:M28)</f>
        <v>2128304.9</v>
      </c>
      <c r="P28" s="77">
        <f t="shared" si="1"/>
        <v>9.1188706091876126E-2</v>
      </c>
      <c r="Q28" s="49" t="s">
        <v>37</v>
      </c>
    </row>
    <row r="29" spans="1:17">
      <c r="A29" s="233" t="s">
        <v>38</v>
      </c>
      <c r="B29" s="111">
        <v>140301.32999999999</v>
      </c>
      <c r="C29" s="111">
        <v>187756.06</v>
      </c>
      <c r="D29" s="111">
        <v>216707.57</v>
      </c>
      <c r="E29" s="111">
        <v>36287.980000000003</v>
      </c>
      <c r="F29" s="111">
        <v>205036.26</v>
      </c>
      <c r="G29" s="111">
        <v>40238.53</v>
      </c>
      <c r="H29" s="111">
        <v>47610.86</v>
      </c>
      <c r="I29" s="111">
        <v>153420.89000000001</v>
      </c>
      <c r="J29" s="111">
        <v>59783.46</v>
      </c>
      <c r="K29" s="111">
        <v>130866.39</v>
      </c>
      <c r="L29" s="111">
        <v>75849.19</v>
      </c>
      <c r="M29" s="230">
        <v>40184.910000000003</v>
      </c>
      <c r="N29" s="203">
        <f t="shared" si="0"/>
        <v>1334043.4299999997</v>
      </c>
      <c r="O29" s="19">
        <f>SUM('TRT 2012'!B29:M29)</f>
        <v>1154835.1499999999</v>
      </c>
      <c r="P29" s="77">
        <f t="shared" si="1"/>
        <v>0.15518083251968884</v>
      </c>
      <c r="Q29" s="49" t="s">
        <v>38</v>
      </c>
    </row>
    <row r="30" spans="1:17">
      <c r="A30" s="233" t="s">
        <v>39</v>
      </c>
      <c r="B30" s="111">
        <v>213654.01</v>
      </c>
      <c r="C30" s="111">
        <v>220756.57</v>
      </c>
      <c r="D30" s="111">
        <v>158512.15</v>
      </c>
      <c r="E30" s="111">
        <v>212359.34</v>
      </c>
      <c r="F30" s="111">
        <v>447433.29</v>
      </c>
      <c r="G30" s="111">
        <v>392656.49</v>
      </c>
      <c r="H30" s="111">
        <v>452208.69</v>
      </c>
      <c r="I30" s="111">
        <v>495484.66</v>
      </c>
      <c r="J30" s="111">
        <v>388523.17</v>
      </c>
      <c r="K30" s="111">
        <v>426814.8</v>
      </c>
      <c r="L30" s="111">
        <v>507876.61</v>
      </c>
      <c r="M30" s="230">
        <v>366787.27</v>
      </c>
      <c r="N30" s="203">
        <f t="shared" si="0"/>
        <v>4283067.05</v>
      </c>
      <c r="O30" s="19">
        <f>SUM('TRT 2012'!B30:M30)</f>
        <v>3852285.26</v>
      </c>
      <c r="P30" s="77">
        <f t="shared" si="1"/>
        <v>0.11182499761193698</v>
      </c>
      <c r="Q30" s="49" t="s">
        <v>97</v>
      </c>
    </row>
    <row r="31" spans="1:17">
      <c r="A31" s="233" t="s">
        <v>40</v>
      </c>
      <c r="B31" s="111">
        <v>5117.46</v>
      </c>
      <c r="C31" s="111">
        <v>11256.15</v>
      </c>
      <c r="D31" s="111">
        <v>1271.69</v>
      </c>
      <c r="E31" s="111">
        <v>3536.18</v>
      </c>
      <c r="F31" s="111">
        <v>12299.55</v>
      </c>
      <c r="G31" s="111">
        <v>19071.8</v>
      </c>
      <c r="H31" s="111">
        <v>13730.05</v>
      </c>
      <c r="I31" s="111">
        <v>56400.160000000003</v>
      </c>
      <c r="J31" s="111">
        <v>20836.23</v>
      </c>
      <c r="K31" s="111">
        <v>21554.02</v>
      </c>
      <c r="L31" s="111">
        <v>69264.13</v>
      </c>
      <c r="M31" s="230">
        <v>8911.7999999999993</v>
      </c>
      <c r="N31" s="203">
        <f t="shared" si="0"/>
        <v>243249.22</v>
      </c>
      <c r="O31" s="19">
        <f>SUM('TRT 2012'!B31:M31)</f>
        <v>236857.41999999998</v>
      </c>
      <c r="P31" s="77">
        <f t="shared" si="1"/>
        <v>2.6985855034644901E-2</v>
      </c>
      <c r="Q31" s="49" t="s">
        <v>40</v>
      </c>
    </row>
    <row r="32" spans="1:17" ht="13" thickBot="1">
      <c r="A32" s="234" t="s">
        <v>41</v>
      </c>
      <c r="B32" s="20">
        <v>62345.93</v>
      </c>
      <c r="C32" s="20">
        <v>64679.9</v>
      </c>
      <c r="D32" s="20">
        <v>65708.679999999993</v>
      </c>
      <c r="E32" s="20">
        <v>74429.100000000006</v>
      </c>
      <c r="F32" s="20">
        <v>124920.74</v>
      </c>
      <c r="G32" s="20">
        <v>82701.990000000005</v>
      </c>
      <c r="H32" s="20">
        <v>79773</v>
      </c>
      <c r="I32" s="20">
        <v>119942.2</v>
      </c>
      <c r="J32" s="20">
        <v>116599.19</v>
      </c>
      <c r="K32" s="20">
        <v>99067.08</v>
      </c>
      <c r="L32" s="20">
        <v>100933.26</v>
      </c>
      <c r="M32" s="70">
        <v>72936.2</v>
      </c>
      <c r="N32" s="206">
        <f t="shared" si="0"/>
        <v>1064037.27</v>
      </c>
      <c r="O32" s="19">
        <f>SUM('TRT 2012'!B32:M32)</f>
        <v>1034271.6399999999</v>
      </c>
      <c r="P32" s="21">
        <f t="shared" si="1"/>
        <v>2.8779315654444693E-2</v>
      </c>
      <c r="Q32" s="53" t="s">
        <v>41</v>
      </c>
    </row>
    <row r="33" spans="1:16" ht="14" thickTop="1" thickBot="1">
      <c r="A33" s="125" t="s">
        <v>54</v>
      </c>
      <c r="B33" s="126">
        <f t="shared" ref="B33:O33" si="2">SUM(B4:B32)</f>
        <v>2117926.2900000005</v>
      </c>
      <c r="C33" s="127">
        <f t="shared" si="2"/>
        <v>2911500.9599999995</v>
      </c>
      <c r="D33" s="127">
        <f t="shared" si="2"/>
        <v>3530115.3800000004</v>
      </c>
      <c r="E33" s="127">
        <f t="shared" si="2"/>
        <v>3126703.26</v>
      </c>
      <c r="F33" s="127">
        <f t="shared" si="2"/>
        <v>4401304.91</v>
      </c>
      <c r="G33" s="127">
        <f t="shared" si="2"/>
        <v>2928143.5199999996</v>
      </c>
      <c r="H33" s="127">
        <f t="shared" si="2"/>
        <v>3059889.53</v>
      </c>
      <c r="I33" s="127">
        <f t="shared" si="2"/>
        <v>4275714.04</v>
      </c>
      <c r="J33" s="127">
        <f t="shared" si="2"/>
        <v>3751936.8499999996</v>
      </c>
      <c r="K33" s="127">
        <f t="shared" si="2"/>
        <v>3668321.75</v>
      </c>
      <c r="L33" s="127">
        <f t="shared" si="2"/>
        <v>4340534.6999999993</v>
      </c>
      <c r="M33" s="128">
        <f t="shared" si="2"/>
        <v>2907990.5490000001</v>
      </c>
      <c r="N33" s="207">
        <f t="shared" si="2"/>
        <v>41020081.739000008</v>
      </c>
      <c r="O33" s="127">
        <f t="shared" si="2"/>
        <v>37110032.659999996</v>
      </c>
      <c r="P33" s="113">
        <f t="shared" si="1"/>
        <v>0.10536366579958734</v>
      </c>
    </row>
    <row r="34" spans="1:16">
      <c r="B34" s="28">
        <f>B33/'TRT 2012'!B33-1</f>
        <v>0.12110853416563772</v>
      </c>
      <c r="C34" s="28">
        <f>C33/'TRT 2012'!C33-1</f>
        <v>6.4762194466150058E-2</v>
      </c>
      <c r="D34" s="28">
        <f>D33/'TRT 2012'!D33-1</f>
        <v>0.24363371242277476</v>
      </c>
      <c r="E34" s="28">
        <f>E33/'TRT 2012'!E33-1</f>
        <v>4.537375404413635E-2</v>
      </c>
      <c r="F34" s="28">
        <f>F33/'TRT 2012'!F33-1</f>
        <v>4.3936511814643975E-2</v>
      </c>
      <c r="G34" s="28">
        <f>G33/'TRT 2012'!G33-1</f>
        <v>8.3550616892340335E-2</v>
      </c>
      <c r="H34" s="28">
        <f>H33/'TRT 2012'!H33-1</f>
        <v>8.4243215135028082E-2</v>
      </c>
      <c r="I34" s="28">
        <f>I33/'TRT 2012'!I33-1</f>
        <v>4.5136275330263764E-2</v>
      </c>
      <c r="J34" s="28">
        <f>J33/'TRT 2012'!J33-1</f>
        <v>0.28816201277576048</v>
      </c>
      <c r="K34" s="28">
        <f>K33/'TRT 2012'!K33-1</f>
        <v>2.6350677653229182E-2</v>
      </c>
      <c r="L34" s="28">
        <f>L33/'TRT 2012'!L33-1</f>
        <v>0.16709819646413915</v>
      </c>
      <c r="M34" s="28">
        <f>M33/'TRT 2012'!M33-1</f>
        <v>0.11014726842356781</v>
      </c>
      <c r="N34" s="28"/>
    </row>
    <row r="35" spans="1:16" s="236" customFormat="1"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7"/>
    </row>
    <row r="36" spans="1:16" ht="21">
      <c r="A36" s="691" t="s">
        <v>128</v>
      </c>
      <c r="B36" s="691"/>
      <c r="C36" s="691"/>
      <c r="D36" s="691"/>
      <c r="E36" s="691"/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</row>
    <row r="37" spans="1:16" ht="13" thickBot="1"/>
    <row r="38" spans="1:16" ht="13" thickBot="1">
      <c r="A38" s="129" t="s">
        <v>42</v>
      </c>
      <c r="B38" s="130" t="s">
        <v>2</v>
      </c>
      <c r="C38" s="131" t="s">
        <v>3</v>
      </c>
      <c r="D38" s="131" t="s">
        <v>4</v>
      </c>
      <c r="E38" s="131" t="s">
        <v>5</v>
      </c>
      <c r="F38" s="131" t="s">
        <v>6</v>
      </c>
      <c r="G38" s="131" t="s">
        <v>7</v>
      </c>
      <c r="H38" s="131" t="s">
        <v>8</v>
      </c>
      <c r="I38" s="131" t="s">
        <v>9</v>
      </c>
      <c r="J38" s="131" t="s">
        <v>10</v>
      </c>
      <c r="K38" s="131" t="s">
        <v>11</v>
      </c>
      <c r="L38" s="131" t="s">
        <v>12</v>
      </c>
      <c r="M38" s="132" t="s">
        <v>13</v>
      </c>
      <c r="N38" s="204" t="s">
        <v>127</v>
      </c>
      <c r="O38" s="131" t="s">
        <v>119</v>
      </c>
      <c r="P38" s="135" t="s">
        <v>16</v>
      </c>
    </row>
    <row r="39" spans="1:16" ht="13" thickBot="1">
      <c r="A39" s="40" t="s">
        <v>31</v>
      </c>
      <c r="B39" s="41">
        <v>114736.08</v>
      </c>
      <c r="C39" s="42">
        <v>121302.6</v>
      </c>
      <c r="D39" s="42">
        <v>187117.78</v>
      </c>
      <c r="E39" s="42">
        <v>150132.92000000001</v>
      </c>
      <c r="F39" s="42">
        <v>192376.36</v>
      </c>
      <c r="G39" s="42">
        <v>155684.85999999999</v>
      </c>
      <c r="H39" s="42">
        <v>129721.95</v>
      </c>
      <c r="I39" s="42">
        <v>166982.23000000001</v>
      </c>
      <c r="J39" s="42">
        <v>173014</v>
      </c>
      <c r="K39" s="42">
        <v>164643.44</v>
      </c>
      <c r="L39" s="42">
        <v>157352.18</v>
      </c>
      <c r="M39" s="43">
        <v>154427.06</v>
      </c>
      <c r="N39" s="46">
        <f>SUM(B39:M39)</f>
        <v>1867491.46</v>
      </c>
      <c r="O39" s="187">
        <f>SUM('TRT 2012'!B39:M39)</f>
        <v>1741281.2</v>
      </c>
      <c r="P39" s="115">
        <f>N39/O39-1</f>
        <v>7.2481262647296818E-2</v>
      </c>
    </row>
    <row r="40" spans="1:16">
      <c r="B40" s="28">
        <f>B39/'TRT 2012'!B39-1</f>
        <v>0.13572810488570819</v>
      </c>
      <c r="C40" s="28">
        <f>C39/'TRT 2012'!C39-1</f>
        <v>-4.4009155248482146E-2</v>
      </c>
      <c r="D40" s="28">
        <f>D39/'TRT 2012'!D39-1</f>
        <v>0.26855762094083202</v>
      </c>
      <c r="E40" s="28">
        <f>E39/'TRT 2012'!E39-1</f>
        <v>-5.0296010517452361E-2</v>
      </c>
      <c r="F40" s="28">
        <f>F39/'TRT 2012'!F39-1</f>
        <v>-3.6099841262611898E-2</v>
      </c>
      <c r="G40" s="28">
        <f>G39/'TRT 2012'!G39-1</f>
        <v>0.1767197557203628</v>
      </c>
      <c r="H40" s="28">
        <f>H39/'TRT 2012'!H39-1</f>
        <v>-5.6689477780906383E-2</v>
      </c>
      <c r="I40" s="28">
        <f>I39/'TRT 2012'!I39-1</f>
        <v>3.9309822348734258E-2</v>
      </c>
      <c r="J40" s="28">
        <f>J39/'TRT 2012'!J39-1</f>
        <v>0.32090157598291369</v>
      </c>
      <c r="K40" s="28">
        <f>K39/'TRT 2012'!K39-1</f>
        <v>5.0252217291010703E-2</v>
      </c>
      <c r="L40" s="28">
        <f>L39/'TRT 2012'!L39-1</f>
        <v>2.5098640354320301E-2</v>
      </c>
      <c r="M40" s="28">
        <f>M39/'TRT 2012'!M39-1</f>
        <v>0.13162028422727401</v>
      </c>
      <c r="N40" s="28"/>
    </row>
    <row r="41" spans="1:16">
      <c r="N41" s="100"/>
    </row>
    <row r="42" spans="1:16">
      <c r="A42" s="188"/>
      <c r="M42" s="186"/>
      <c r="N42" s="100"/>
    </row>
    <row r="43" spans="1:16">
      <c r="B43" s="1" t="s">
        <v>134</v>
      </c>
      <c r="C43" s="1" t="s">
        <v>135</v>
      </c>
      <c r="D43" s="1" t="s">
        <v>141</v>
      </c>
      <c r="E43" s="1" t="s">
        <v>142</v>
      </c>
      <c r="F43" s="1" t="s">
        <v>143</v>
      </c>
      <c r="G43" s="1" t="s">
        <v>144</v>
      </c>
      <c r="H43" s="1" t="s">
        <v>145</v>
      </c>
      <c r="I43" s="1" t="s">
        <v>146</v>
      </c>
      <c r="J43" s="1" t="s">
        <v>130</v>
      </c>
      <c r="K43" s="1" t="s">
        <v>131</v>
      </c>
      <c r="L43" s="1" t="s">
        <v>132</v>
      </c>
      <c r="M43" s="1" t="s">
        <v>133</v>
      </c>
    </row>
    <row r="44" spans="1:16">
      <c r="H44" s="100"/>
    </row>
    <row r="45" spans="1:16">
      <c r="G45" s="116"/>
      <c r="H45" s="100"/>
      <c r="I45" s="100"/>
    </row>
    <row r="46" spans="1:16">
      <c r="A46" s="208"/>
      <c r="B46" s="208"/>
      <c r="C46" s="208"/>
      <c r="D46" s="208"/>
      <c r="E46" s="208"/>
      <c r="F46" s="208"/>
      <c r="G46" s="209"/>
      <c r="H46" s="217"/>
      <c r="I46" s="208"/>
      <c r="J46" s="208"/>
      <c r="K46" s="208"/>
      <c r="L46" s="208"/>
      <c r="M46" s="208"/>
      <c r="N46" s="208"/>
    </row>
    <row r="47" spans="1:16">
      <c r="A47" s="210"/>
      <c r="B47" s="190"/>
      <c r="C47" s="190"/>
      <c r="D47" s="190"/>
      <c r="E47" s="190"/>
      <c r="F47" s="190"/>
      <c r="G47" s="190"/>
      <c r="H47" s="215"/>
      <c r="I47" s="190"/>
      <c r="J47" s="190"/>
      <c r="K47" s="190"/>
      <c r="L47" s="190"/>
      <c r="M47" s="190"/>
    </row>
    <row r="48" spans="1:16">
      <c r="A48" s="212"/>
      <c r="B48" s="213"/>
      <c r="C48" s="213"/>
      <c r="D48" s="213"/>
      <c r="E48" s="213"/>
      <c r="F48" s="213"/>
      <c r="G48" s="213"/>
      <c r="H48" s="213"/>
      <c r="I48" s="214"/>
      <c r="J48" s="212"/>
      <c r="K48" s="212"/>
      <c r="L48" s="212"/>
      <c r="M48" s="212"/>
      <c r="N48" s="212"/>
    </row>
    <row r="49" spans="7:16">
      <c r="G49" s="186"/>
    </row>
    <row r="50" spans="7:16">
      <c r="G50" s="193"/>
    </row>
    <row r="51" spans="7:16">
      <c r="G51" s="194"/>
    </row>
    <row r="63" spans="7:16" ht="13" thickBot="1">
      <c r="P63" s="113"/>
    </row>
  </sheetData>
  <mergeCells count="2">
    <mergeCell ref="A1:P1"/>
    <mergeCell ref="A36:P36"/>
  </mergeCells>
  <printOptions horizontalCentered="1"/>
  <pageMargins left="0" right="0" top="0.5" bottom="0.5" header="0.5" footer="0.5"/>
  <pageSetup scale="86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1"/>
    <pageSetUpPr fitToPage="1"/>
  </sheetPr>
  <dimension ref="A1:Q41"/>
  <sheetViews>
    <sheetView workbookViewId="0">
      <selection activeCell="P43" sqref="P43"/>
    </sheetView>
  </sheetViews>
  <sheetFormatPr baseColWidth="10" defaultColWidth="8.83203125" defaultRowHeight="12" x14ac:dyDescent="0"/>
  <cols>
    <col min="2" max="3" width="8.6640625" bestFit="1" customWidth="1"/>
    <col min="9" max="9" width="11.1640625" bestFit="1" customWidth="1"/>
    <col min="14" max="14" width="9.33203125" customWidth="1"/>
    <col min="15" max="15" width="9.5" bestFit="1" customWidth="1"/>
  </cols>
  <sheetData>
    <row r="1" spans="1:17" ht="21">
      <c r="A1" s="691" t="s">
        <v>115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</row>
    <row r="2" spans="1:17" ht="13" thickBot="1">
      <c r="A2" s="47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3" thickBot="1">
      <c r="A3" s="155" t="s">
        <v>42</v>
      </c>
      <c r="B3" s="156" t="s">
        <v>2</v>
      </c>
      <c r="C3" s="157" t="s">
        <v>3</v>
      </c>
      <c r="D3" s="156" t="s">
        <v>4</v>
      </c>
      <c r="E3" s="156" t="s">
        <v>5</v>
      </c>
      <c r="F3" s="156" t="s">
        <v>6</v>
      </c>
      <c r="G3" s="156" t="s">
        <v>7</v>
      </c>
      <c r="H3" s="156" t="s">
        <v>8</v>
      </c>
      <c r="I3" s="156" t="s">
        <v>9</v>
      </c>
      <c r="J3" s="156" t="s">
        <v>10</v>
      </c>
      <c r="K3" s="156" t="s">
        <v>11</v>
      </c>
      <c r="L3" s="156" t="s">
        <v>12</v>
      </c>
      <c r="M3" s="158" t="s">
        <v>13</v>
      </c>
      <c r="N3" s="159" t="s">
        <v>112</v>
      </c>
      <c r="O3" s="156" t="s">
        <v>107</v>
      </c>
      <c r="P3" s="160" t="s">
        <v>16</v>
      </c>
      <c r="Q3" s="161" t="s">
        <v>58</v>
      </c>
    </row>
    <row r="4" spans="1:17">
      <c r="A4" s="92" t="s">
        <v>17</v>
      </c>
      <c r="B4" s="36">
        <f>'R 2011'!B4+'TRT 2011'!B4</f>
        <v>11431.720000000001</v>
      </c>
      <c r="C4" s="36">
        <f>'R 2011'!C4+'TRT 2011'!C4</f>
        <v>31067.69</v>
      </c>
      <c r="D4" s="36">
        <f>'R 2011'!D4+'TRT 2011'!D4</f>
        <v>11063.07</v>
      </c>
      <c r="E4" s="36">
        <f>'R 2011'!E4+'TRT 2011'!E4</f>
        <v>8781.0999999999985</v>
      </c>
      <c r="F4" s="36">
        <f>'R 2011'!F4+'TRT 2011'!F4</f>
        <v>27734.440000000002</v>
      </c>
      <c r="G4" s="36">
        <f>'R 2011'!G4+'TRT 2011'!G4</f>
        <v>22424.41</v>
      </c>
      <c r="H4" s="36">
        <f>'R 2011'!H4+'TRT 2011'!H4</f>
        <v>13950.54</v>
      </c>
      <c r="I4" s="36">
        <f>'R 2011'!I4+'TRT 2011'!I4</f>
        <v>52611.3</v>
      </c>
      <c r="J4" s="36">
        <f>'R 2011'!J4+'TRT 2011'!J4</f>
        <v>16138.26</v>
      </c>
      <c r="K4" s="36">
        <f>'R 2011'!K4+'TRT 2011'!K4</f>
        <v>21888.46</v>
      </c>
      <c r="L4" s="36">
        <f>'R 2011'!L4+'TRT 2011'!L4</f>
        <v>47220.480000000003</v>
      </c>
      <c r="M4" s="36">
        <f>'R 2011'!M4+'TRT 2011'!M4</f>
        <v>16282.81</v>
      </c>
      <c r="N4" s="81">
        <f t="shared" ref="N4:N32" si="0">SUM(B4:M4)</f>
        <v>280594.28000000003</v>
      </c>
      <c r="O4" s="19">
        <f>SUM('TOTAL 2010'!B4:M4)</f>
        <v>256429.69999999998</v>
      </c>
      <c r="P4" s="84">
        <f t="shared" ref="P4:P33" si="1">N4/O4-1</f>
        <v>9.4234716181472056E-2</v>
      </c>
      <c r="Q4" s="22">
        <f t="shared" ref="Q4:Q33" si="2">N4/$N$33</f>
        <v>3.4771532690727109E-3</v>
      </c>
    </row>
    <row r="5" spans="1:17">
      <c r="A5" s="92" t="s">
        <v>18</v>
      </c>
      <c r="B5" s="19">
        <f>'R 2011'!B5+'TRT 2011'!B5</f>
        <v>31012.326000000001</v>
      </c>
      <c r="C5" s="19">
        <f>'R 2011'!C5+'TRT 2011'!C5</f>
        <v>63218.89</v>
      </c>
      <c r="D5" s="19">
        <f>'R 2011'!D5+'TRT 2011'!D5</f>
        <v>31802.83</v>
      </c>
      <c r="E5" s="19">
        <f>'R 2011'!E5+'TRT 2011'!E5</f>
        <v>34837.06</v>
      </c>
      <c r="F5" s="19">
        <f>'R 2011'!F5+'TRT 2011'!F5</f>
        <v>44992.7</v>
      </c>
      <c r="G5" s="19">
        <f>'R 2011'!G5+'TRT 2011'!G5</f>
        <v>58582.409999999996</v>
      </c>
      <c r="H5" s="19">
        <f>'R 2011'!H5+'TRT 2011'!H5</f>
        <v>40051.279999999999</v>
      </c>
      <c r="I5" s="19">
        <f>'R 2011'!I5+'TRT 2011'!I5</f>
        <v>77392.39</v>
      </c>
      <c r="J5" s="19">
        <f>'R 2011'!J5+'TRT 2011'!J5</f>
        <v>44470.18</v>
      </c>
      <c r="K5" s="19">
        <f>'R 2011'!K5+'TRT 2011'!K5</f>
        <v>59056.69</v>
      </c>
      <c r="L5" s="19">
        <f>'R 2011'!L5+'TRT 2011'!L5</f>
        <v>78723.75</v>
      </c>
      <c r="M5" s="19">
        <f>'R 2011'!M5+'TRT 2011'!M5</f>
        <v>38740.869999999995</v>
      </c>
      <c r="N5" s="81">
        <f t="shared" si="0"/>
        <v>602881.37599999993</v>
      </c>
      <c r="O5" s="19">
        <f>SUM('TOTAL 2010'!B5:M5)</f>
        <v>596339.29599999997</v>
      </c>
      <c r="P5" s="84">
        <f t="shared" si="1"/>
        <v>1.0970398972332651E-2</v>
      </c>
      <c r="Q5" s="22">
        <f t="shared" si="2"/>
        <v>7.4709682158219815E-3</v>
      </c>
    </row>
    <row r="6" spans="1:17">
      <c r="A6" s="92" t="s">
        <v>19</v>
      </c>
      <c r="B6" s="19">
        <f>'R 2011'!B6+'TRT 2011'!B6</f>
        <v>85833.709999999992</v>
      </c>
      <c r="C6" s="19">
        <f>'R 2011'!C6+'TRT 2011'!C6</f>
        <v>118440.72</v>
      </c>
      <c r="D6" s="19">
        <f>'R 2011'!D6+'TRT 2011'!D6</f>
        <v>97773.22</v>
      </c>
      <c r="E6" s="19">
        <f>'R 2011'!E6+'TRT 2011'!E6</f>
        <v>94188.86</v>
      </c>
      <c r="F6" s="19">
        <f>'R 2011'!F6+'TRT 2011'!F6</f>
        <v>109066.84999999999</v>
      </c>
      <c r="G6" s="19">
        <f>'R 2011'!G6+'TRT 2011'!G6</f>
        <v>127873.89</v>
      </c>
      <c r="H6" s="19">
        <f>'R 2011'!H6+'TRT 2011'!H6</f>
        <v>102652.58</v>
      </c>
      <c r="I6" s="19">
        <f>'R 2011'!I6+'TRT 2011'!I6</f>
        <v>155561.85</v>
      </c>
      <c r="J6" s="19">
        <f>'R 2011'!J6+'TRT 2011'!J6</f>
        <v>122096.4</v>
      </c>
      <c r="K6" s="19">
        <f>'R 2011'!K6+'TRT 2011'!K6</f>
        <v>128199.32</v>
      </c>
      <c r="L6" s="19">
        <f>'R 2011'!L6+'TRT 2011'!L6</f>
        <v>148261.44</v>
      </c>
      <c r="M6" s="19">
        <f>'R 2011'!M6+'TRT 2011'!M6</f>
        <v>99986.59</v>
      </c>
      <c r="N6" s="81">
        <f t="shared" si="0"/>
        <v>1389935.43</v>
      </c>
      <c r="O6" s="19">
        <f>SUM('TOTAL 2010'!B6:M6)</f>
        <v>1320366.8700000001</v>
      </c>
      <c r="P6" s="84">
        <f t="shared" si="1"/>
        <v>5.2688810648513051E-2</v>
      </c>
      <c r="Q6" s="22">
        <f t="shared" si="2"/>
        <v>1.7224223260090987E-2</v>
      </c>
    </row>
    <row r="7" spans="1:17">
      <c r="A7" s="92" t="s">
        <v>20</v>
      </c>
      <c r="B7" s="19">
        <f>'R 2011'!B7+'TRT 2011'!B7</f>
        <v>34251.75</v>
      </c>
      <c r="C7" s="19">
        <f>'R 2011'!C7+'TRT 2011'!C7</f>
        <v>37797.06</v>
      </c>
      <c r="D7" s="19">
        <f>'R 2011'!D7+'TRT 2011'!D7</f>
        <v>39402.99</v>
      </c>
      <c r="E7" s="19">
        <f>'R 2011'!E7+'TRT 2011'!E7</f>
        <v>21616.55</v>
      </c>
      <c r="F7" s="19">
        <f>'R 2011'!F7+'TRT 2011'!F7</f>
        <v>48719.5</v>
      </c>
      <c r="G7" s="19">
        <f>'R 2011'!G7+'TRT 2011'!G7</f>
        <v>45607.479999999996</v>
      </c>
      <c r="H7" s="19">
        <f>'R 2011'!H7+'TRT 2011'!H7</f>
        <v>37824.85</v>
      </c>
      <c r="I7" s="19">
        <f>'R 2011'!I7+'TRT 2011'!I7</f>
        <v>60670.21</v>
      </c>
      <c r="J7" s="19">
        <f>'R 2011'!J7+'TRT 2011'!J7</f>
        <v>49961.369999999995</v>
      </c>
      <c r="K7" s="19">
        <f>'R 2011'!K7+'TRT 2011'!K7</f>
        <v>28160.86</v>
      </c>
      <c r="L7" s="19">
        <f>'R 2011'!L7+'TRT 2011'!L7</f>
        <v>55730.770000000004</v>
      </c>
      <c r="M7" s="19">
        <f>'R 2011'!M7+'TRT 2011'!M7</f>
        <v>48751.79</v>
      </c>
      <c r="N7" s="81">
        <f t="shared" si="0"/>
        <v>508495.17999999993</v>
      </c>
      <c r="O7" s="19">
        <f>SUM('TOTAL 2010'!B7:M7)</f>
        <v>437467.29999999993</v>
      </c>
      <c r="P7" s="84">
        <f t="shared" si="1"/>
        <v>0.1623615753680332</v>
      </c>
      <c r="Q7" s="22">
        <f t="shared" si="2"/>
        <v>6.3013247363585458E-3</v>
      </c>
    </row>
    <row r="8" spans="1:17">
      <c r="A8" s="92" t="s">
        <v>21</v>
      </c>
      <c r="B8" s="19">
        <f>'R 2011'!B8+'TRT 2011'!B8</f>
        <v>1488.5219999999999</v>
      </c>
      <c r="C8" s="19">
        <f>'R 2011'!C8+'TRT 2011'!C8</f>
        <v>2947.54</v>
      </c>
      <c r="D8" s="19">
        <f>'R 2011'!D8+'TRT 2011'!D8</f>
        <v>1856.3400000000001</v>
      </c>
      <c r="E8" s="19">
        <f>'R 2011'!E8+'TRT 2011'!E8</f>
        <v>1449.6299999999999</v>
      </c>
      <c r="F8" s="19">
        <f>'R 2011'!F8+'TRT 2011'!F8</f>
        <v>2456.8000000000002</v>
      </c>
      <c r="G8" s="19">
        <f>'R 2011'!G8+'TRT 2011'!G8</f>
        <v>5913.79</v>
      </c>
      <c r="H8" s="19">
        <f>'R 2011'!H8+'TRT 2011'!H8</f>
        <v>4286.78</v>
      </c>
      <c r="I8" s="19">
        <f>'R 2011'!I8+'TRT 2011'!I8</f>
        <v>15712.31</v>
      </c>
      <c r="J8" s="19">
        <f>'R 2011'!J8+'TRT 2011'!J8</f>
        <v>8347.25</v>
      </c>
      <c r="K8" s="19">
        <f>'R 2011'!K8+'TRT 2011'!K8</f>
        <v>12468.14</v>
      </c>
      <c r="L8" s="19">
        <f>'R 2011'!L8+'TRT 2011'!L8</f>
        <v>13812.619999999999</v>
      </c>
      <c r="M8" s="19">
        <f>'R 2011'!M8+'TRT 2011'!M8</f>
        <v>4304.37</v>
      </c>
      <c r="N8" s="81">
        <f t="shared" si="0"/>
        <v>75044.09199999999</v>
      </c>
      <c r="O8" s="19">
        <f>SUM('TOTAL 2010'!B8:M8)</f>
        <v>84059.8</v>
      </c>
      <c r="P8" s="84">
        <f t="shared" si="1"/>
        <v>-0.10725350286343782</v>
      </c>
      <c r="Q8" s="22">
        <f t="shared" si="2"/>
        <v>9.2995413100506962E-4</v>
      </c>
    </row>
    <row r="9" spans="1:17">
      <c r="A9" s="151" t="s">
        <v>22</v>
      </c>
      <c r="B9" s="19">
        <f>'R 2011'!B9+'CR 2011'!C4+'TRT 2011'!B9</f>
        <v>260179.4</v>
      </c>
      <c r="C9" s="19">
        <f>'R 2011'!C9+'CR 2011'!D4+'TRT 2011'!C9</f>
        <v>373501.56</v>
      </c>
      <c r="D9" s="19">
        <f>'R 2011'!D9+'CR 2011'!E4+'TRT 2011'!D9</f>
        <v>315357.12</v>
      </c>
      <c r="E9" s="19">
        <f>'R 2011'!E9+'CR 2011'!F4+'TRT 2011'!E9</f>
        <v>332367.48</v>
      </c>
      <c r="F9" s="19">
        <f>'R 2011'!F9+'CR 2011'!G4+'TRT 2011'!F9</f>
        <v>383901.48</v>
      </c>
      <c r="G9" s="19">
        <f>'R 2011'!G9+'CR 2011'!H4+'TRT 2011'!G9</f>
        <v>427273.63</v>
      </c>
      <c r="H9" s="19">
        <f>'R 2011'!H9+'CR 2011'!I4+'TRT 2011'!H9</f>
        <v>245522.49</v>
      </c>
      <c r="I9" s="19">
        <f>'R 2011'!I9+'CR 2011'!J4+'TRT 2011'!I9</f>
        <v>447980.00000000006</v>
      </c>
      <c r="J9" s="19">
        <f>'R 2011'!J9+'CR 2011'!K4+'TRT 2011'!J9</f>
        <v>359052.42</v>
      </c>
      <c r="K9" s="19">
        <f>'R 2011'!K9+'CR 2011'!L4+'TRT 2011'!K9</f>
        <v>434712.30000000005</v>
      </c>
      <c r="L9" s="19">
        <f>'R 2011'!L9+'CR 2011'!M4+'TRT 2011'!L9</f>
        <v>434994.99</v>
      </c>
      <c r="M9" s="19">
        <f>'R 2011'!M9+'CR 2011'!N4+'TRT 2011'!M9</f>
        <v>333937.52</v>
      </c>
      <c r="N9" s="81">
        <f t="shared" si="0"/>
        <v>4348780.3900000006</v>
      </c>
      <c r="O9" s="19">
        <f>SUM('TOTAL 2010'!B9:M9)</f>
        <v>4221002.8599999994</v>
      </c>
      <c r="P9" s="84">
        <f t="shared" si="1"/>
        <v>3.027184160685481E-2</v>
      </c>
      <c r="Q9" s="22">
        <f t="shared" si="2"/>
        <v>5.3890535293762219E-2</v>
      </c>
    </row>
    <row r="10" spans="1:17">
      <c r="A10" s="151" t="s">
        <v>23</v>
      </c>
      <c r="B10" s="19">
        <f>'R 2011'!B10+'CR 2011'!C5+'TRT 2011'!B10</f>
        <v>12135.130000000001</v>
      </c>
      <c r="C10" s="19">
        <f>'R 2011'!C10+'CR 2011'!D5+'TRT 2011'!C10</f>
        <v>19341.900000000001</v>
      </c>
      <c r="D10" s="19">
        <f>'R 2011'!D10+'CR 2011'!E5+'TRT 2011'!D10</f>
        <v>10604.93</v>
      </c>
      <c r="E10" s="19">
        <f>'R 2011'!E10+'CR 2011'!F5+'TRT 2011'!E10</f>
        <v>10427.86</v>
      </c>
      <c r="F10" s="19">
        <f>'R 2011'!F10+'CR 2011'!G5+'TRT 2011'!F10</f>
        <v>14104</v>
      </c>
      <c r="G10" s="19">
        <f>'R 2011'!G10+'CR 2011'!H5+'TRT 2011'!G10</f>
        <v>25500.45</v>
      </c>
      <c r="H10" s="19">
        <f>'R 2011'!H10+'CR 2011'!I5+'TRT 2011'!H10</f>
        <v>8064.64</v>
      </c>
      <c r="I10" s="19">
        <f>'R 2011'!I10+'CR 2011'!J5+'TRT 2011'!I10</f>
        <v>19400.88</v>
      </c>
      <c r="J10" s="19">
        <f>'R 2011'!J10+'CR 2011'!K5+'TRT 2011'!J10</f>
        <v>13316.8</v>
      </c>
      <c r="K10" s="19">
        <f>'R 2011'!K10+'CR 2011'!L5+'TRT 2011'!K10</f>
        <v>15601.09</v>
      </c>
      <c r="L10" s="19">
        <f>'R 2011'!L10+'CR 2011'!M5+'TRT 2011'!L10</f>
        <v>38180.720000000001</v>
      </c>
      <c r="M10" s="19">
        <f>'R 2011'!M10+'CR 2011'!N5+'TRT 2011'!M10</f>
        <v>14881.77</v>
      </c>
      <c r="N10" s="81">
        <f t="shared" si="0"/>
        <v>201560.16999999998</v>
      </c>
      <c r="O10" s="19">
        <f>SUM('TOTAL 2010'!B10:M10)</f>
        <v>202474.97000000003</v>
      </c>
      <c r="P10" s="84">
        <f t="shared" si="1"/>
        <v>-4.5180893223495389E-3</v>
      </c>
      <c r="Q10" s="22">
        <f t="shared" si="2"/>
        <v>2.4977544233273437E-3</v>
      </c>
    </row>
    <row r="11" spans="1:17">
      <c r="A11" s="151" t="s">
        <v>51</v>
      </c>
      <c r="B11" s="19">
        <f>'R 2011'!B11+'TRT 2011'!B11</f>
        <v>18616.760000000002</v>
      </c>
      <c r="C11" s="19">
        <f>'R 2011'!C11+'TRT 2011'!C11</f>
        <v>11108.54</v>
      </c>
      <c r="D11" s="19">
        <f>'R 2011'!D11+'TRT 2011'!D11</f>
        <v>7923.9699999999993</v>
      </c>
      <c r="E11" s="19">
        <f>'R 2011'!E11+'TRT 2011'!E11</f>
        <v>21337.439999999999</v>
      </c>
      <c r="F11" s="19">
        <f>'R 2011'!F11+'TRT 2011'!F11</f>
        <v>25247.8</v>
      </c>
      <c r="G11" s="19">
        <f>'R 2011'!G11+'TRT 2011'!G11</f>
        <v>64041.8</v>
      </c>
      <c r="H11" s="19">
        <f>'R 2011'!H11+'TRT 2011'!H11</f>
        <v>3910.41</v>
      </c>
      <c r="I11" s="19">
        <f>'R 2011'!I11+'TRT 2011'!I11</f>
        <v>14088.02</v>
      </c>
      <c r="J11" s="19">
        <f>'R 2011'!J11+'TRT 2011'!J11</f>
        <v>28872.39</v>
      </c>
      <c r="K11" s="19">
        <f>'R 2011'!K11+'TRT 2011'!K11</f>
        <v>36008.61</v>
      </c>
      <c r="L11" s="19">
        <f>'R 2011'!L11+'TRT 2011'!L11</f>
        <v>51523.38</v>
      </c>
      <c r="M11" s="19">
        <f>'R 2011'!M11+'TRT 2011'!M11</f>
        <v>22823.82</v>
      </c>
      <c r="N11" s="60">
        <f t="shared" si="0"/>
        <v>305502.94</v>
      </c>
      <c r="O11" s="19">
        <f>SUM('TOTAL 2010'!B11:M11)</f>
        <v>370256.42000000004</v>
      </c>
      <c r="P11" s="84">
        <f t="shared" si="1"/>
        <v>-0.17488820315391163</v>
      </c>
      <c r="Q11" s="22">
        <f t="shared" si="2"/>
        <v>3.7858239538322881E-3</v>
      </c>
    </row>
    <row r="12" spans="1:17">
      <c r="A12" s="151" t="s">
        <v>24</v>
      </c>
      <c r="B12" s="19">
        <f>'R 2011'!B12+'TRT 2011'!B12</f>
        <v>47737.49</v>
      </c>
      <c r="C12" s="19">
        <f>'R 2011'!C12+'TRT 2011'!C12</f>
        <v>24156.720000000001</v>
      </c>
      <c r="D12" s="19">
        <f>'R 2011'!D12+'TRT 2011'!D12</f>
        <v>12881.39</v>
      </c>
      <c r="E12" s="19">
        <f>'R 2011'!E12+'TRT 2011'!E12</f>
        <v>14359.21</v>
      </c>
      <c r="F12" s="19">
        <f>'R 2011'!F12+'TRT 2011'!F12</f>
        <v>44588.520000000004</v>
      </c>
      <c r="G12" s="19">
        <f>'R 2011'!G12+'TRT 2011'!G12</f>
        <v>101481.14</v>
      </c>
      <c r="H12" s="19">
        <f>'R 2011'!H12+'TRT 2011'!H12</f>
        <v>187509.16999999998</v>
      </c>
      <c r="I12" s="19">
        <f>'R 2011'!I12+'TRT 2011'!I12</f>
        <v>171178.81</v>
      </c>
      <c r="J12" s="19">
        <f>'R 2011'!J12+'TRT 2011'!J12</f>
        <v>165472.39000000001</v>
      </c>
      <c r="K12" s="19">
        <f>'R 2011'!K12+'TRT 2011'!K12</f>
        <v>183277.88</v>
      </c>
      <c r="L12" s="19">
        <f>'R 2011'!L12+'TRT 2011'!L12</f>
        <v>250933.71999999997</v>
      </c>
      <c r="M12" s="19">
        <f>'R 2011'!M12+'TRT 2011'!M12</f>
        <v>137191.13</v>
      </c>
      <c r="N12" s="81">
        <f t="shared" si="0"/>
        <v>1340767.5699999998</v>
      </c>
      <c r="O12" s="19">
        <f>SUM('TOTAL 2010'!B12:M12)</f>
        <v>1329062.82</v>
      </c>
      <c r="P12" s="84">
        <f t="shared" si="1"/>
        <v>8.8067695701545823E-3</v>
      </c>
      <c r="Q12" s="22">
        <f t="shared" si="2"/>
        <v>1.6614930065902176E-2</v>
      </c>
    </row>
    <row r="13" spans="1:17">
      <c r="A13" s="151" t="s">
        <v>25</v>
      </c>
      <c r="B13" s="19">
        <f>'R 2011'!B13+'CR 2011'!C6+'TRT 2011'!B13</f>
        <v>36517.18</v>
      </c>
      <c r="C13" s="19">
        <f>'R 2011'!C13+'CR 2011'!D6+'TRT 2011'!C13</f>
        <v>41456.660000000003</v>
      </c>
      <c r="D13" s="19">
        <f>'R 2011'!D13+'CR 2011'!E6+'TRT 2011'!D13</f>
        <v>124196.57</v>
      </c>
      <c r="E13" s="19">
        <f>'R 2011'!E13+'CR 2011'!F6+'TRT 2011'!E13</f>
        <v>207085.6</v>
      </c>
      <c r="F13" s="19">
        <f>'R 2011'!F13+'CR 2011'!G6+'TRT 2011'!F13</f>
        <v>271243.15999999997</v>
      </c>
      <c r="G13" s="19">
        <f>'R 2011'!G13+'CR 2011'!H6+'TRT 2011'!G13</f>
        <v>254652.19</v>
      </c>
      <c r="H13" s="19">
        <f>'R 2011'!H13+'CR 2011'!I6+'TRT 2011'!H13</f>
        <v>38492.06</v>
      </c>
      <c r="I13" s="19">
        <f>'R 2011'!I13+'CR 2011'!J6+'TRT 2011'!I13</f>
        <v>109117.20999999999</v>
      </c>
      <c r="J13" s="19">
        <f>'R 2011'!J13+'CR 2011'!K6+'TRT 2011'!J13</f>
        <v>199986.82</v>
      </c>
      <c r="K13" s="19">
        <f>'R 2011'!K13+'CR 2011'!L6+'TRT 2011'!K13</f>
        <v>224600.38</v>
      </c>
      <c r="L13" s="19">
        <f>'R 2011'!L13+'CR 2011'!M6+'TRT 2011'!L13</f>
        <v>324757.84999999998</v>
      </c>
      <c r="M13" s="19">
        <f>'R 2011'!M13+'CR 2011'!N6+'TRT 2011'!M13</f>
        <v>152782.51999999999</v>
      </c>
      <c r="N13" s="81">
        <f t="shared" si="0"/>
        <v>1984888.2000000002</v>
      </c>
      <c r="O13" s="19">
        <f>SUM('TOTAL 2010'!B13:M13)</f>
        <v>1955425.38</v>
      </c>
      <c r="P13" s="84">
        <f t="shared" si="1"/>
        <v>1.5067217752896545E-2</v>
      </c>
      <c r="Q13" s="22">
        <f t="shared" si="2"/>
        <v>2.4596939372298853E-2</v>
      </c>
    </row>
    <row r="14" spans="1:17">
      <c r="A14" s="151" t="s">
        <v>26</v>
      </c>
      <c r="B14" s="19">
        <f>'R 2011'!B14+'TRT 2011'!B14</f>
        <v>64804.759999999995</v>
      </c>
      <c r="C14" s="19">
        <f>'R 2011'!C14+'TRT 2011'!C14</f>
        <v>106939.77</v>
      </c>
      <c r="D14" s="19">
        <f>'R 2011'!D14+'TRT 2011'!D14</f>
        <v>78896.44</v>
      </c>
      <c r="E14" s="19">
        <f>'R 2011'!E14+'TRT 2011'!E14</f>
        <v>72999.009999999995</v>
      </c>
      <c r="F14" s="19">
        <f>'R 2011'!F14+'TRT 2011'!F14</f>
        <v>121018.37</v>
      </c>
      <c r="G14" s="19">
        <f>'R 2011'!G14+'TRT 2011'!G14</f>
        <v>92829.65</v>
      </c>
      <c r="H14" s="19">
        <f>'R 2011'!H14+'TRT 2011'!H14</f>
        <v>83254.510000000009</v>
      </c>
      <c r="I14" s="19">
        <f>'R 2011'!I14+'TRT 2011'!I14</f>
        <v>221364.19</v>
      </c>
      <c r="J14" s="19">
        <f>'R 2011'!J14+'TRT 2011'!J14</f>
        <v>125957.59</v>
      </c>
      <c r="K14" s="19">
        <f>'R 2011'!K14+'TRT 2011'!K14</f>
        <v>122633.1</v>
      </c>
      <c r="L14" s="19">
        <f>'R 2011'!L14+'TRT 2011'!L14</f>
        <v>172812.54</v>
      </c>
      <c r="M14" s="19">
        <f>'R 2011'!M14+'TRT 2011'!M14</f>
        <v>80809.98</v>
      </c>
      <c r="N14" s="81">
        <f t="shared" si="0"/>
        <v>1344319.91</v>
      </c>
      <c r="O14" s="19">
        <f>SUM('TOTAL 2010'!B14:M14)</f>
        <v>1308087.8099999998</v>
      </c>
      <c r="P14" s="84">
        <f t="shared" si="1"/>
        <v>2.7698522777305001E-2</v>
      </c>
      <c r="Q14" s="22">
        <f t="shared" si="2"/>
        <v>1.6658951029707488E-2</v>
      </c>
    </row>
    <row r="15" spans="1:17">
      <c r="A15" s="151" t="s">
        <v>27</v>
      </c>
      <c r="B15" s="19">
        <f>'R 2011'!B15+'TRT 2011'!B15</f>
        <v>5600.5</v>
      </c>
      <c r="C15" s="19">
        <f>'R 2011'!C15+'TRT 2011'!C15</f>
        <v>16744.510000000002</v>
      </c>
      <c r="D15" s="19">
        <f>'R 2011'!D15+'TRT 2011'!D15</f>
        <v>6606.23</v>
      </c>
      <c r="E15" s="19">
        <f>'R 2011'!E15+'TRT 2011'!E15</f>
        <v>6038.09</v>
      </c>
      <c r="F15" s="19">
        <f>'R 2011'!F15+'TRT 2011'!F15</f>
        <v>13569.8</v>
      </c>
      <c r="G15" s="19">
        <f>'R 2011'!G15+'TRT 2011'!G15</f>
        <v>12123.16</v>
      </c>
      <c r="H15" s="19">
        <f>'R 2011'!H15+'TRT 2011'!H15</f>
        <v>7882.74</v>
      </c>
      <c r="I15" s="19">
        <f>'R 2011'!I15+'TRT 2011'!I15</f>
        <v>21782.260000000002</v>
      </c>
      <c r="J15" s="19">
        <f>'R 2011'!J15+'TRT 2011'!J15</f>
        <v>9178.619999999999</v>
      </c>
      <c r="K15" s="19">
        <f>'R 2011'!K15+'TRT 2011'!K15</f>
        <v>7994.05</v>
      </c>
      <c r="L15" s="19">
        <f>'R 2011'!L15+'TRT 2011'!L15</f>
        <v>26507.27</v>
      </c>
      <c r="M15" s="19">
        <f>'R 2011'!M15+'TRT 2011'!M15</f>
        <v>18950.68</v>
      </c>
      <c r="N15" s="81">
        <f t="shared" si="0"/>
        <v>152977.91</v>
      </c>
      <c r="O15" s="19">
        <f>SUM('TOTAL 2010'!B15:M15)</f>
        <v>144873.81</v>
      </c>
      <c r="P15" s="84">
        <f t="shared" si="1"/>
        <v>5.5939027212717152E-2</v>
      </c>
      <c r="Q15" s="22">
        <f t="shared" si="2"/>
        <v>1.8957180447598963E-3</v>
      </c>
    </row>
    <row r="16" spans="1:17">
      <c r="A16" s="151" t="s">
        <v>28</v>
      </c>
      <c r="B16" s="19">
        <f>'R 2011'!B16+'TRT 2011'!B16</f>
        <v>31860.469999999998</v>
      </c>
      <c r="C16" s="19">
        <f>'R 2011'!C16+'TRT 2011'!C16</f>
        <v>48265.94</v>
      </c>
      <c r="D16" s="19">
        <f>'R 2011'!D16+'TRT 2011'!D16</f>
        <v>38518.789999999994</v>
      </c>
      <c r="E16" s="19">
        <f>'R 2011'!E16+'TRT 2011'!E16</f>
        <v>29132.51</v>
      </c>
      <c r="F16" s="19">
        <f>'R 2011'!F16+'TRT 2011'!F16</f>
        <v>70120.19</v>
      </c>
      <c r="G16" s="19">
        <f>'R 2011'!G16+'TRT 2011'!G16</f>
        <v>102460.19</v>
      </c>
      <c r="H16" s="19">
        <f>'R 2011'!H16+'TRT 2011'!H16</f>
        <v>127977.99</v>
      </c>
      <c r="I16" s="19">
        <f>'R 2011'!I16+'TRT 2011'!I16</f>
        <v>227398.49</v>
      </c>
      <c r="J16" s="19">
        <f>'R 2011'!J16+'TRT 2011'!J16</f>
        <v>153641.69</v>
      </c>
      <c r="K16" s="19">
        <f>'R 2011'!K16+'TRT 2011'!K16</f>
        <v>146706.57999999999</v>
      </c>
      <c r="L16" s="19">
        <f>'R 2011'!L16+'TRT 2011'!L16</f>
        <v>180949.28</v>
      </c>
      <c r="M16" s="19">
        <f>'R 2011'!M16+'TRT 2011'!M16</f>
        <v>85825.81</v>
      </c>
      <c r="N16" s="81">
        <f t="shared" si="0"/>
        <v>1242857.93</v>
      </c>
      <c r="O16" s="19">
        <f>SUM('TOTAL 2010'!B16:M16)</f>
        <v>1184675.54</v>
      </c>
      <c r="P16" s="84">
        <f t="shared" si="1"/>
        <v>4.911251058665389E-2</v>
      </c>
      <c r="Q16" s="22">
        <f t="shared" si="2"/>
        <v>1.5401623704846875E-2</v>
      </c>
    </row>
    <row r="17" spans="1:17">
      <c r="A17" s="151" t="s">
        <v>52</v>
      </c>
      <c r="B17" s="19">
        <f>'TRT 2011'!B17</f>
        <v>9531.6</v>
      </c>
      <c r="C17" s="19">
        <f>'TRT 2011'!C17</f>
        <v>8682.49</v>
      </c>
      <c r="D17" s="19">
        <f>'TRT 2011'!D17</f>
        <v>3531.11</v>
      </c>
      <c r="E17" s="19">
        <f>'TRT 2011'!E17</f>
        <v>5604.11</v>
      </c>
      <c r="F17" s="19">
        <f>'TRT 2011'!F17</f>
        <v>9701.7000000000007</v>
      </c>
      <c r="G17" s="19">
        <f>'TRT 2011'!G17</f>
        <v>8863.4599999999991</v>
      </c>
      <c r="H17" s="19">
        <f>'TRT 2011'!H17</f>
        <v>8070.44</v>
      </c>
      <c r="I17" s="19">
        <f>'TRT 2011'!I17</f>
        <v>19432.66</v>
      </c>
      <c r="J17" s="19">
        <f>'TRT 2011'!J17</f>
        <v>6951.88</v>
      </c>
      <c r="K17" s="19">
        <f>'TRT 2011'!K17</f>
        <v>10426.549999999999</v>
      </c>
      <c r="L17" s="19">
        <f>'TRT 2011'!L17</f>
        <v>17055.060000000001</v>
      </c>
      <c r="M17" s="19">
        <f>'TRT 2011'!M17</f>
        <v>9152.51</v>
      </c>
      <c r="N17" s="81">
        <f t="shared" si="0"/>
        <v>117003.57</v>
      </c>
      <c r="O17" s="19">
        <f>SUM('TOTAL 2010'!B17:M17)</f>
        <v>105568.98000000001</v>
      </c>
      <c r="P17" s="84">
        <f t="shared" si="1"/>
        <v>0.10831391948657632</v>
      </c>
      <c r="Q17" s="22">
        <f t="shared" si="2"/>
        <v>1.449920311699432E-3</v>
      </c>
    </row>
    <row r="18" spans="1:17">
      <c r="A18" s="151" t="s">
        <v>29</v>
      </c>
      <c r="B18" s="19">
        <f>'R 2011'!B17+'CR 2011'!C7+'TRT 2011'!B18</f>
        <v>12420.25</v>
      </c>
      <c r="C18" s="19">
        <f>'R 2011'!C17+'CR 2011'!D7+'TRT 2011'!C18</f>
        <v>4437.99</v>
      </c>
      <c r="D18" s="19">
        <f>'R 2011'!D17+'CR 2011'!E7+'TRT 2011'!D18</f>
        <v>959.24</v>
      </c>
      <c r="E18" s="19">
        <f>'R 2011'!E17+'CR 2011'!F7+'TRT 2011'!E18</f>
        <v>912.68</v>
      </c>
      <c r="F18" s="19">
        <f>'R 2011'!F17+'CR 2011'!G7+'TRT 2011'!F18</f>
        <v>1142.4299999999998</v>
      </c>
      <c r="G18" s="19">
        <f>'R 2011'!G17+'CR 2011'!H7+'TRT 2011'!G18</f>
        <v>869.18000000000006</v>
      </c>
      <c r="H18" s="19">
        <f>'R 2011'!H17+'CR 2011'!I7+'TRT 2011'!H18</f>
        <v>2329.48</v>
      </c>
      <c r="I18" s="19">
        <f>'R 2011'!I17+'CR 2011'!J7+'TRT 2011'!I18</f>
        <v>8532.84</v>
      </c>
      <c r="J18" s="19">
        <f>'R 2011'!J17+'CR 2011'!K7+'TRT 2011'!J18</f>
        <v>3240.74</v>
      </c>
      <c r="K18" s="19">
        <f>'R 2011'!K17+'CR 2011'!L7+'TRT 2011'!K18</f>
        <v>5241.75</v>
      </c>
      <c r="L18" s="19">
        <f>'R 2011'!L17+'CR 2011'!M7+'TRT 2011'!L18</f>
        <v>8544.68</v>
      </c>
      <c r="M18" s="19">
        <f>'R 2011'!M17+'CR 2011'!N7+'TRT 2011'!M18</f>
        <v>2408.69</v>
      </c>
      <c r="N18" s="81">
        <f t="shared" si="0"/>
        <v>51039.950000000004</v>
      </c>
      <c r="O18" s="19">
        <f>SUM('TOTAL 2010'!B18:M18)</f>
        <v>50421.140000000007</v>
      </c>
      <c r="P18" s="84">
        <f t="shared" si="1"/>
        <v>1.2272828420777371E-2</v>
      </c>
      <c r="Q18" s="22">
        <f t="shared" si="2"/>
        <v>6.3249232662835361E-4</v>
      </c>
    </row>
    <row r="19" spans="1:17">
      <c r="A19" s="151" t="s">
        <v>53</v>
      </c>
      <c r="B19" s="19">
        <f>'TRT 2011'!B19</f>
        <v>149.57</v>
      </c>
      <c r="C19" s="19">
        <f>'TRT 2011'!C19</f>
        <v>1169.69</v>
      </c>
      <c r="D19" s="19">
        <f>'TRT 2011'!D19</f>
        <v>81.5</v>
      </c>
      <c r="E19" s="19">
        <f>'TRT 2011'!E19</f>
        <v>154.49</v>
      </c>
      <c r="F19" s="19">
        <f>'TRT 2011'!F19</f>
        <v>12.84</v>
      </c>
      <c r="G19" s="19">
        <f>'TRT 2011'!G19</f>
        <v>496.9</v>
      </c>
      <c r="H19" s="19">
        <f>'TRT 2011'!H19</f>
        <v>1277.47</v>
      </c>
      <c r="I19" s="19">
        <f>'TRT 2011'!I19</f>
        <v>3967.82</v>
      </c>
      <c r="J19" s="19">
        <f>'TRT 2011'!J19</f>
        <v>0</v>
      </c>
      <c r="K19" s="19">
        <f>'TRT 2011'!K19</f>
        <v>1566.18</v>
      </c>
      <c r="L19" s="19">
        <f>'TRT 2011'!L19</f>
        <v>5914.73</v>
      </c>
      <c r="M19" s="19">
        <f>'TRT 2011'!M19</f>
        <v>2.62</v>
      </c>
      <c r="N19" s="81">
        <f t="shared" si="0"/>
        <v>14793.810000000001</v>
      </c>
      <c r="O19" s="19">
        <f>SUM('TOTAL 2010'!B19:M19)</f>
        <v>19007.150000000001</v>
      </c>
      <c r="P19" s="84">
        <f t="shared" si="1"/>
        <v>-0.2216713184249085</v>
      </c>
      <c r="Q19" s="22">
        <f t="shared" si="2"/>
        <v>1.8332641992395768E-4</v>
      </c>
    </row>
    <row r="20" spans="1:17">
      <c r="A20" s="151" t="s">
        <v>30</v>
      </c>
      <c r="B20" s="19">
        <f>'R 2011'!B18+'TRT 2011'!B20</f>
        <v>7226.21</v>
      </c>
      <c r="C20" s="19">
        <f>'R 2011'!C18+'TRT 2011'!C20</f>
        <v>3704.71</v>
      </c>
      <c r="D20" s="19">
        <f>'R 2011'!D18+'TRT 2011'!D20</f>
        <v>2665</v>
      </c>
      <c r="E20" s="19">
        <f>'R 2011'!E18+'TRT 2011'!E20</f>
        <v>10692</v>
      </c>
      <c r="F20" s="19">
        <f>'R 2011'!F18+'TRT 2011'!F20</f>
        <v>10692</v>
      </c>
      <c r="G20" s="19">
        <f>'R 2011'!G18+'TRT 2011'!G20</f>
        <v>10692</v>
      </c>
      <c r="H20" s="19">
        <f>'R 2011'!H18+'TRT 2011'!H20</f>
        <v>694.43</v>
      </c>
      <c r="I20" s="19">
        <f>'R 2011'!I18+'TRT 2011'!I20</f>
        <v>4472.93</v>
      </c>
      <c r="J20" s="19">
        <f>'R 2011'!J18+'TRT 2011'!J20</f>
        <v>3553.46</v>
      </c>
      <c r="K20" s="19">
        <f>'R 2011'!K18+'TRT 2011'!K20</f>
        <v>18110.439999999999</v>
      </c>
      <c r="L20" s="19">
        <f>'R 2011'!L18+'TRT 2011'!L20</f>
        <v>64492.07</v>
      </c>
      <c r="M20" s="19">
        <f>'R 2011'!M18+'TRT 2011'!M20</f>
        <v>1627.21</v>
      </c>
      <c r="N20" s="81">
        <f t="shared" si="0"/>
        <v>138622.46</v>
      </c>
      <c r="O20" s="19">
        <f>SUM('TOTAL 2010'!B20:M20)</f>
        <v>133124.70000000001</v>
      </c>
      <c r="P20" s="84">
        <f t="shared" si="1"/>
        <v>4.1297820765041848E-2</v>
      </c>
      <c r="Q20" s="22">
        <f t="shared" si="2"/>
        <v>1.7178238271852904E-3</v>
      </c>
    </row>
    <row r="21" spans="1:17">
      <c r="A21" s="151" t="s">
        <v>31</v>
      </c>
      <c r="B21" s="19">
        <f>'R 2011'!B19+'CR 2011'!C8+'TRT 2011'!B21</f>
        <v>2118790.13</v>
      </c>
      <c r="C21" s="19">
        <f>'R 2011'!C19+'CR 2011'!D8+'TRT 2011'!C21</f>
        <v>3041330.59</v>
      </c>
      <c r="D21" s="19">
        <f>'R 2011'!D19+'CR 2011'!E8+'TRT 2011'!D21</f>
        <v>3412096.66</v>
      </c>
      <c r="E21" s="19">
        <f>'R 2011'!E19+'CR 2011'!F8+'TRT 2011'!E21</f>
        <v>3404870.04</v>
      </c>
      <c r="F21" s="19">
        <f>'R 2011'!F19+'CR 2011'!G8+'TRT 2011'!F21</f>
        <v>3757479.8499999996</v>
      </c>
      <c r="G21" s="19">
        <f>'R 2011'!G19+'CR 2011'!H8+'TRT 2011'!G21</f>
        <v>3162921.6</v>
      </c>
      <c r="H21" s="19">
        <f>'R 2011'!H19+'CR 2011'!I8+'TRT 2011'!H21</f>
        <v>2657633.0699999998</v>
      </c>
      <c r="I21" s="19">
        <f>'R 2011'!I19+'CR 2011'!J8+'TRT 2011'!I21</f>
        <v>3751672.51</v>
      </c>
      <c r="J21" s="19">
        <f>'R 2011'!J19+'CR 2011'!K8+'TRT 2011'!J21</f>
        <v>3045391.67</v>
      </c>
      <c r="K21" s="19">
        <f>'R 2011'!K19+'CR 2011'!L8+'TRT 2011'!K21</f>
        <v>3619383.6599999997</v>
      </c>
      <c r="L21" s="19">
        <f>'R 2011'!L19+'CR 2011'!M8+'TRT 2011'!L21</f>
        <v>3480338.3200000003</v>
      </c>
      <c r="M21" s="19">
        <f>'R 2011'!M19+'CR 2011'!N8+'TRT 2011'!M21</f>
        <v>2980296.79</v>
      </c>
      <c r="N21" s="81">
        <f t="shared" si="0"/>
        <v>38432204.889999993</v>
      </c>
      <c r="O21" s="19">
        <f>SUM('TOTAL 2010'!B21:M21)</f>
        <v>36093239.409999996</v>
      </c>
      <c r="P21" s="84">
        <f t="shared" si="1"/>
        <v>6.4803423528450699E-2</v>
      </c>
      <c r="Q21" s="22">
        <f t="shared" si="2"/>
        <v>0.47625584837629503</v>
      </c>
    </row>
    <row r="22" spans="1:17">
      <c r="A22" s="151" t="s">
        <v>45</v>
      </c>
      <c r="B22" s="19">
        <f>'R 2011'!B20+'TRT 2011'!B22</f>
        <v>25390.07</v>
      </c>
      <c r="C22" s="19">
        <f>'R 2011'!C20+'TRT 2011'!C22</f>
        <v>30890.47</v>
      </c>
      <c r="D22" s="19">
        <f>'R 2011'!D20+'TRT 2011'!D22</f>
        <v>6440.76</v>
      </c>
      <c r="E22" s="19">
        <f>'R 2011'!E20+'TRT 2011'!E22</f>
        <v>13862.54</v>
      </c>
      <c r="F22" s="19">
        <f>'R 2011'!F20+'TRT 2011'!F22</f>
        <v>15328.4</v>
      </c>
      <c r="G22" s="19">
        <f>'R 2011'!G20+'TRT 2011'!G22</f>
        <v>38797.279999999999</v>
      </c>
      <c r="H22" s="19">
        <f>'R 2011'!H20+'TRT 2011'!H22</f>
        <v>40747.910000000003</v>
      </c>
      <c r="I22" s="19">
        <f>'R 2011'!I20+'TRT 2011'!I22</f>
        <v>91562.4</v>
      </c>
      <c r="J22" s="19">
        <f>'R 2011'!J20+'TRT 2011'!J22</f>
        <v>30864.58</v>
      </c>
      <c r="K22" s="19">
        <f>'R 2011'!K20+'TRT 2011'!K22</f>
        <v>107566.54000000001</v>
      </c>
      <c r="L22" s="19">
        <f>'R 2011'!L20+'TRT 2011'!L22</f>
        <v>94083.89</v>
      </c>
      <c r="M22" s="19">
        <f>'R 2011'!M20+'TRT 2011'!M22</f>
        <v>46989.17</v>
      </c>
      <c r="N22" s="81">
        <f t="shared" si="0"/>
        <v>542524.01</v>
      </c>
      <c r="O22" s="19">
        <f>SUM('TOTAL 2010'!B22:M22)</f>
        <v>444365.04000000004</v>
      </c>
      <c r="P22" s="84">
        <f t="shared" si="1"/>
        <v>0.22089714798445881</v>
      </c>
      <c r="Q22" s="22">
        <f t="shared" si="2"/>
        <v>6.7230135087640985E-3</v>
      </c>
    </row>
    <row r="23" spans="1:17">
      <c r="A23" s="151" t="s">
        <v>32</v>
      </c>
      <c r="B23" s="19">
        <f>'R 2011'!B21+'TRT 2011'!B23</f>
        <v>5781.2400000000007</v>
      </c>
      <c r="C23" s="19">
        <f>'R 2011'!C21+'TRT 2011'!C23</f>
        <v>20816.45</v>
      </c>
      <c r="D23" s="19">
        <f>'R 2011'!D21+'TRT 2011'!D23</f>
        <v>4799.8599999999997</v>
      </c>
      <c r="E23" s="19">
        <f>'R 2011'!E21+'TRT 2011'!E23</f>
        <v>8016.27</v>
      </c>
      <c r="F23" s="19">
        <f>'R 2011'!F21+'TRT 2011'!F23</f>
        <v>14454.470000000001</v>
      </c>
      <c r="G23" s="19">
        <f>'R 2011'!G21+'TRT 2011'!G23</f>
        <v>16540.8</v>
      </c>
      <c r="H23" s="19">
        <f>'R 2011'!H21+'TRT 2011'!H23</f>
        <v>12196.25</v>
      </c>
      <c r="I23" s="19">
        <f>'R 2011'!I21+'TRT 2011'!I23</f>
        <v>33230.020000000004</v>
      </c>
      <c r="J23" s="19">
        <f>'R 2011'!J21+'TRT 2011'!J23</f>
        <v>4403.3599999999997</v>
      </c>
      <c r="K23" s="19">
        <f>'R 2011'!K21+'TRT 2011'!K23</f>
        <v>18737.879999999997</v>
      </c>
      <c r="L23" s="19">
        <f>'R 2011'!L21+'TRT 2011'!L23</f>
        <v>33307.42</v>
      </c>
      <c r="M23" s="19">
        <f>'R 2011'!M21+'TRT 2011'!M23</f>
        <v>2252.8000000000002</v>
      </c>
      <c r="N23" s="81">
        <f t="shared" si="0"/>
        <v>174536.82</v>
      </c>
      <c r="O23" s="19">
        <f>SUM('TOTAL 2010'!B23:M23)</f>
        <v>173102.87</v>
      </c>
      <c r="P23" s="84">
        <f t="shared" si="1"/>
        <v>8.283802573579635E-3</v>
      </c>
      <c r="Q23" s="22">
        <f t="shared" si="2"/>
        <v>2.1628782818971051E-3</v>
      </c>
    </row>
    <row r="24" spans="1:17">
      <c r="A24" s="151" t="s">
        <v>33</v>
      </c>
      <c r="B24" s="19">
        <f>'R 2011'!B22+'CR 2011'!C9+'TRT 2011'!B24</f>
        <v>25368.629999999997</v>
      </c>
      <c r="C24" s="19">
        <f>'R 2011'!C22+'CR 2011'!D9+'TRT 2011'!C24</f>
        <v>33487.79</v>
      </c>
      <c r="D24" s="19">
        <f>'R 2011'!D22+'CR 2011'!E9+'TRT 2011'!D24</f>
        <v>31091.33</v>
      </c>
      <c r="E24" s="19">
        <f>'R 2011'!E22+'CR 2011'!F9+'TRT 2011'!E24</f>
        <v>28500.33</v>
      </c>
      <c r="F24" s="19">
        <f>'R 2011'!F22+'CR 2011'!G9+'TRT 2011'!F24</f>
        <v>37728.5</v>
      </c>
      <c r="G24" s="19">
        <f>'R 2011'!G22+'CR 2011'!H9+'TRT 2011'!G24</f>
        <v>44985.53</v>
      </c>
      <c r="H24" s="19">
        <f>'R 2011'!H22+'CR 2011'!I9+'TRT 2011'!H24</f>
        <v>46821.58</v>
      </c>
      <c r="I24" s="19">
        <f>'R 2011'!I22+'CR 2011'!J9+'TRT 2011'!I24</f>
        <v>84831.41</v>
      </c>
      <c r="J24" s="19">
        <f>'R 2011'!J22+'CR 2011'!K9+'TRT 2011'!J24</f>
        <v>58949.83</v>
      </c>
      <c r="K24" s="19">
        <f>'R 2011'!K22+'CR 2011'!L9+'TRT 2011'!K24</f>
        <v>57834.59</v>
      </c>
      <c r="L24" s="19">
        <f>'R 2011'!L22+'CR 2011'!M9+'TRT 2011'!L24</f>
        <v>80782.52</v>
      </c>
      <c r="M24" s="19">
        <f>'R 2011'!M22+'CR 2011'!N9+'TRT 2011'!M24</f>
        <v>45370.25</v>
      </c>
      <c r="N24" s="81">
        <f t="shared" si="0"/>
        <v>575752.29</v>
      </c>
      <c r="O24" s="19">
        <f>SUM('TOTAL 2010'!B24:M24)</f>
        <v>480857.54000000004</v>
      </c>
      <c r="P24" s="84">
        <f t="shared" si="1"/>
        <v>0.19734483106992551</v>
      </c>
      <c r="Q24" s="22">
        <f t="shared" si="2"/>
        <v>7.1347817829700566E-3</v>
      </c>
    </row>
    <row r="25" spans="1:17">
      <c r="A25" s="151" t="s">
        <v>34</v>
      </c>
      <c r="B25" s="19">
        <f>'R 2011'!B23+'TRT 2011'!B25</f>
        <v>235113.83000000002</v>
      </c>
      <c r="C25" s="19">
        <f>'R 2011'!C23+'TRT 2011'!C25</f>
        <v>855862.38000000012</v>
      </c>
      <c r="D25" s="19">
        <f>'R 2011'!D23+'TRT 2011'!D25</f>
        <v>1072864.72</v>
      </c>
      <c r="E25" s="19">
        <f>'R 2011'!E23+'TRT 2011'!E25</f>
        <v>995524.47</v>
      </c>
      <c r="F25" s="19">
        <f>'R 2011'!F23+'TRT 2011'!F25</f>
        <v>1573901.64</v>
      </c>
      <c r="G25" s="19">
        <f>'R 2011'!G23+'TRT 2011'!G25</f>
        <v>345927.03</v>
      </c>
      <c r="H25" s="19">
        <f>'R 2011'!H23+'TRT 2011'!H25</f>
        <v>116720.51000000001</v>
      </c>
      <c r="I25" s="19">
        <f>'R 2011'!I23+'TRT 2011'!I25</f>
        <v>404078.31</v>
      </c>
      <c r="J25" s="19">
        <f>'R 2011'!J23+'TRT 2011'!J25</f>
        <v>378988.98</v>
      </c>
      <c r="K25" s="19">
        <f>'R 2011'!K23+'TRT 2011'!K25</f>
        <v>348313.98</v>
      </c>
      <c r="L25" s="19">
        <f>'R 2011'!L23+'TRT 2011'!L25</f>
        <v>349895.76</v>
      </c>
      <c r="M25" s="19">
        <f>'R 2011'!M23+'TRT 2011'!M25</f>
        <v>196560.86</v>
      </c>
      <c r="N25" s="81">
        <f t="shared" si="0"/>
        <v>6873752.4699999997</v>
      </c>
      <c r="O25" s="19">
        <f>SUM('TOTAL 2010'!B25:M25)</f>
        <v>5603839.0199999996</v>
      </c>
      <c r="P25" s="84">
        <f t="shared" si="1"/>
        <v>0.22661490550811725</v>
      </c>
      <c r="Q25" s="22">
        <f t="shared" si="2"/>
        <v>8.5180249832096072E-2</v>
      </c>
    </row>
    <row r="26" spans="1:17">
      <c r="A26" s="151" t="s">
        <v>35</v>
      </c>
      <c r="B26" s="19">
        <f>'R 2011'!B24+'TRT 2011'!B26</f>
        <v>33906.380000000005</v>
      </c>
      <c r="C26" s="19">
        <f>'R 2011'!C24+'TRT 2011'!C26</f>
        <v>65455.229999999996</v>
      </c>
      <c r="D26" s="19">
        <f>'R 2011'!D24+'TRT 2011'!D26</f>
        <v>34378.32</v>
      </c>
      <c r="E26" s="19">
        <f>'R 2011'!E24+'TRT 2011'!E26</f>
        <v>34908.380000000005</v>
      </c>
      <c r="F26" s="19">
        <f>'R 2011'!F24+'TRT 2011'!F26</f>
        <v>56161.16</v>
      </c>
      <c r="G26" s="19">
        <f>'R 2011'!G24+'TRT 2011'!G26</f>
        <v>68242.17</v>
      </c>
      <c r="H26" s="19">
        <f>'R 2011'!H24+'TRT 2011'!H26</f>
        <v>48636.45</v>
      </c>
      <c r="I26" s="19">
        <f>'R 2011'!I24+'TRT 2011'!I26</f>
        <v>98879.38</v>
      </c>
      <c r="J26" s="19">
        <f>'R 2011'!J24+'TRT 2011'!J26</f>
        <v>55977.03</v>
      </c>
      <c r="K26" s="19">
        <f>'R 2011'!K24+'TRT 2011'!K26</f>
        <v>55750.62</v>
      </c>
      <c r="L26" s="19">
        <f>'R 2011'!L24+'TRT 2011'!L26</f>
        <v>87079.53</v>
      </c>
      <c r="M26" s="19">
        <f>'R 2011'!M24+'TRT 2011'!M26</f>
        <v>51724.800000000003</v>
      </c>
      <c r="N26" s="81">
        <f t="shared" si="0"/>
        <v>691099.45000000007</v>
      </c>
      <c r="O26" s="19">
        <f>SUM('TOTAL 2010'!B26:M26)</f>
        <v>675325.4</v>
      </c>
      <c r="P26" s="84">
        <f t="shared" si="1"/>
        <v>2.3357702820003601E-2</v>
      </c>
      <c r="Q26" s="22">
        <f t="shared" si="2"/>
        <v>8.564175691043497E-3</v>
      </c>
    </row>
    <row r="27" spans="1:17" s="154" customFormat="1">
      <c r="A27" s="151" t="s">
        <v>36</v>
      </c>
      <c r="B27" s="111">
        <f>'R 2011'!B25+'CR 2011'!C10+'TRT 2011'!B27</f>
        <v>58382.869999999995</v>
      </c>
      <c r="C27" s="111">
        <f>'R 2011'!C25+'CR 2011'!D10+'TRT 2011'!C27</f>
        <v>75053.010000000009</v>
      </c>
      <c r="D27" s="111">
        <f>'R 2011'!D25+'CR 2011'!E10+'TRT 2011'!D27</f>
        <v>50220.67</v>
      </c>
      <c r="E27" s="111">
        <f>'R 2011'!E25+'CR 2011'!F10+'TRT 2011'!E27</f>
        <v>57172.520000000004</v>
      </c>
      <c r="F27" s="111">
        <f>'R 2011'!F25+'CR 2011'!G10+'TRT 2011'!F27</f>
        <v>89215.209999999992</v>
      </c>
      <c r="G27" s="111">
        <f>'R 2011'!G25+'CR 2011'!H10+'TRT 2011'!G27</f>
        <v>52251.66</v>
      </c>
      <c r="H27" s="111">
        <f>'R 2011'!H25+'CR 2011'!I10+'TRT 2011'!H27</f>
        <v>75441.86</v>
      </c>
      <c r="I27" s="111">
        <f>'R 2011'!I25+'CR 2011'!J10+'TRT 2011'!I27</f>
        <v>121494.19</v>
      </c>
      <c r="J27" s="111">
        <f>'R 2011'!J25+'CR 2011'!K10+'TRT 2011'!J27</f>
        <v>84359.87000000001</v>
      </c>
      <c r="K27" s="111">
        <f>'R 2011'!K25+'CR 2011'!L10+'TRT 2011'!K27</f>
        <v>101649.44</v>
      </c>
      <c r="L27" s="111">
        <f>'R 2011'!L25+'CR 2011'!M10+'TRT 2011'!L27</f>
        <v>113991.06</v>
      </c>
      <c r="M27" s="111">
        <f>'R 2011'!M25+'CR 2011'!N10+'TRT 2011'!M27</f>
        <v>96330.12</v>
      </c>
      <c r="N27" s="81">
        <f t="shared" si="0"/>
        <v>975562.4800000001</v>
      </c>
      <c r="O27" s="19">
        <f>SUM('TOTAL 2010'!B27:M27)</f>
        <v>822215.76</v>
      </c>
      <c r="P27" s="152">
        <f t="shared" si="1"/>
        <v>0.18650423339002908</v>
      </c>
      <c r="Q27" s="153">
        <f t="shared" si="2"/>
        <v>1.2089270909288246E-2</v>
      </c>
    </row>
    <row r="28" spans="1:17">
      <c r="A28" s="151" t="s">
        <v>37</v>
      </c>
      <c r="B28" s="19">
        <f>'R 2011'!B26+'CR 2011'!C11+'TRT 2011'!B28</f>
        <v>423664.10000000003</v>
      </c>
      <c r="C28" s="19">
        <f>'R 2011'!C26+'CR 2011'!D11+'TRT 2011'!C28</f>
        <v>575772.54</v>
      </c>
      <c r="D28" s="19">
        <f>'R 2011'!D26+'CR 2011'!E11+'TRT 2011'!D28</f>
        <v>562913.51</v>
      </c>
      <c r="E28" s="19">
        <f>'R 2011'!E26+'CR 2011'!F11+'TRT 2011'!E28</f>
        <v>544476.07000000007</v>
      </c>
      <c r="F28" s="19">
        <f>'R 2011'!F26+'CR 2011'!G11+'TRT 2011'!F28</f>
        <v>635215.64</v>
      </c>
      <c r="G28" s="19">
        <f>'R 2011'!G26+'CR 2011'!H11+'TRT 2011'!G28</f>
        <v>663046.09000000008</v>
      </c>
      <c r="H28" s="19">
        <f>'R 2011'!H26+'CR 2011'!I11+'TRT 2011'!H28</f>
        <v>491890.24</v>
      </c>
      <c r="I28" s="19">
        <f>'R 2011'!I26+'CR 2011'!J11+'TRT 2011'!I28</f>
        <v>767206.17</v>
      </c>
      <c r="J28" s="19">
        <f>'R 2011'!J26+'CR 2011'!K11+'TRT 2011'!J28</f>
        <v>556254.12</v>
      </c>
      <c r="K28" s="19">
        <f>'R 2011'!K26+'CR 2011'!L11+'TRT 2011'!K28</f>
        <v>649878.54</v>
      </c>
      <c r="L28" s="19">
        <f>'R 2011'!L26+'CR 2011'!M11+'TRT 2011'!L28</f>
        <v>803843.46</v>
      </c>
      <c r="M28" s="19">
        <f>'R 2011'!M26+'CR 2011'!N11+'TRT 2011'!M28</f>
        <v>571065.48</v>
      </c>
      <c r="N28" s="81">
        <f t="shared" si="0"/>
        <v>7245225.9600000009</v>
      </c>
      <c r="O28" s="19">
        <f>SUM('TOTAL 2010'!B28:M28)</f>
        <v>6825180.0300000003</v>
      </c>
      <c r="P28" s="84">
        <f t="shared" si="1"/>
        <v>6.1543567811207067E-2</v>
      </c>
      <c r="Q28" s="22">
        <f t="shared" si="2"/>
        <v>8.9783587648274474E-2</v>
      </c>
    </row>
    <row r="29" spans="1:17">
      <c r="A29" s="151" t="s">
        <v>38</v>
      </c>
      <c r="B29" s="19">
        <f>'R 2011'!B27+'TRT 2011'!B29</f>
        <v>145691.51999999999</v>
      </c>
      <c r="C29" s="19">
        <f>'R 2011'!C27+'TRT 2011'!C29</f>
        <v>154018.79</v>
      </c>
      <c r="D29" s="19">
        <f>'R 2011'!D27+'TRT 2011'!D29</f>
        <v>179565.31</v>
      </c>
      <c r="E29" s="19">
        <f>'R 2011'!E27+'TRT 2011'!E29</f>
        <v>48221.07</v>
      </c>
      <c r="F29" s="19">
        <f>'R 2011'!F27+'TRT 2011'!F29</f>
        <v>234704.46</v>
      </c>
      <c r="G29" s="19">
        <f>'R 2011'!G27+'TRT 2011'!G29</f>
        <v>85962.880000000005</v>
      </c>
      <c r="H29" s="19">
        <f>'R 2011'!H27+'TRT 2011'!H29</f>
        <v>65431.429999999993</v>
      </c>
      <c r="I29" s="19">
        <f>'R 2011'!I27+'TRT 2011'!I29</f>
        <v>165226.01</v>
      </c>
      <c r="J29" s="19">
        <f>'R 2011'!J27+'TRT 2011'!J29</f>
        <v>94511.28</v>
      </c>
      <c r="K29" s="19">
        <f>'R 2011'!K27+'TRT 2011'!K29</f>
        <v>116189.07999999999</v>
      </c>
      <c r="L29" s="19">
        <f>'R 2011'!L27+'TRT 2011'!L29</f>
        <v>99652.53</v>
      </c>
      <c r="M29" s="19">
        <f>'R 2011'!M27+'TRT 2011'!M29</f>
        <v>67582.799999999988</v>
      </c>
      <c r="N29" s="81">
        <f t="shared" si="0"/>
        <v>1456757.1600000001</v>
      </c>
      <c r="O29" s="19">
        <f>SUM('TOTAL 2010'!B29:M29)</f>
        <v>1138058.92</v>
      </c>
      <c r="P29" s="84">
        <f t="shared" si="1"/>
        <v>0.28003667859305592</v>
      </c>
      <c r="Q29" s="22">
        <f t="shared" si="2"/>
        <v>1.8052285032820619E-2</v>
      </c>
    </row>
    <row r="30" spans="1:17">
      <c r="A30" s="92" t="s">
        <v>39</v>
      </c>
      <c r="B30" s="19">
        <f>'R 2011'!B28+'CR 2011'!C12+'TRT 2011'!B30</f>
        <v>288294.06000000006</v>
      </c>
      <c r="C30" s="19">
        <f>'R 2011'!C28+'CR 2011'!D12+'TRT 2011'!C30</f>
        <v>330355.71999999997</v>
      </c>
      <c r="D30" s="19">
        <f>'R 2011'!D28+'CR 2011'!E12+'TRT 2011'!D30</f>
        <v>268099.59999999998</v>
      </c>
      <c r="E30" s="19">
        <f>'R 2011'!E28+'CR 2011'!F12+'TRT 2011'!E30</f>
        <v>328191.69</v>
      </c>
      <c r="F30" s="19">
        <f>'R 2011'!F28+'CR 2011'!G12+'TRT 2011'!F30</f>
        <v>475762.07</v>
      </c>
      <c r="G30" s="19">
        <f>'R 2011'!G28+'CR 2011'!H12+'TRT 2011'!G30</f>
        <v>604855.68000000005</v>
      </c>
      <c r="H30" s="19">
        <f>'R 2011'!H28+'CR 2011'!I12+'TRT 2011'!H30</f>
        <v>528692.73</v>
      </c>
      <c r="I30" s="19">
        <f>'R 2011'!I28+'CR 2011'!J12+'TRT 2011'!I30</f>
        <v>720447.8</v>
      </c>
      <c r="J30" s="19">
        <f>'R 2011'!J28+'CR 2011'!K12+'TRT 2011'!J30</f>
        <v>406273.45999999996</v>
      </c>
      <c r="K30" s="19">
        <f>'R 2011'!K28+'CR 2011'!L12+'TRT 2011'!K30</f>
        <v>519730.69999999995</v>
      </c>
      <c r="L30" s="19">
        <f>'R 2011'!L28+'CR 2011'!M12+'TRT 2011'!L30</f>
        <v>653670.38</v>
      </c>
      <c r="M30" s="19">
        <f>'R 2011'!M28+'CR 2011'!N12+'TRT 2011'!M30</f>
        <v>483410.55999999994</v>
      </c>
      <c r="N30" s="81">
        <f t="shared" si="0"/>
        <v>5607784.4500000002</v>
      </c>
      <c r="O30" s="19">
        <f>SUM('TOTAL 2010'!B30:M30)</f>
        <v>5413725.3200000003</v>
      </c>
      <c r="P30" s="84">
        <f t="shared" si="1"/>
        <v>3.5845765813622643E-2</v>
      </c>
      <c r="Q30" s="22">
        <f t="shared" si="2"/>
        <v>6.9492243507503479E-2</v>
      </c>
    </row>
    <row r="31" spans="1:17">
      <c r="A31" s="92" t="s">
        <v>40</v>
      </c>
      <c r="B31" s="19">
        <f>'R 2011'!B29+'TRT 2011'!B31</f>
        <v>11669.630000000001</v>
      </c>
      <c r="C31" s="19">
        <f>'R 2011'!C29+'TRT 2011'!C31</f>
        <v>13493.41</v>
      </c>
      <c r="D31" s="19">
        <f>'R 2011'!D29+'TRT 2011'!D31</f>
        <v>2681.19</v>
      </c>
      <c r="E31" s="19">
        <f>'R 2011'!E29+'TRT 2011'!E31</f>
        <v>4654.21</v>
      </c>
      <c r="F31" s="19">
        <f>'R 2011'!F29+'TRT 2011'!F31</f>
        <v>9351.82</v>
      </c>
      <c r="G31" s="19">
        <f>'R 2011'!G29+'TRT 2011'!G31</f>
        <v>19293.22</v>
      </c>
      <c r="H31" s="19">
        <f>'R 2011'!H29+'TRT 2011'!H31</f>
        <v>16123.82</v>
      </c>
      <c r="I31" s="19">
        <f>'R 2011'!I29+'TRT 2011'!I31</f>
        <v>66664.83</v>
      </c>
      <c r="J31" s="19">
        <f>'R 2011'!J29+'TRT 2011'!J31</f>
        <v>20999.06</v>
      </c>
      <c r="K31" s="19">
        <f>'R 2011'!K29+'TRT 2011'!K31</f>
        <v>25731.02</v>
      </c>
      <c r="L31" s="19">
        <f>'R 2011'!L29+'TRT 2011'!L31</f>
        <v>62935.05</v>
      </c>
      <c r="M31" s="19">
        <f>'R 2011'!M29+'TRT 2011'!M31</f>
        <v>5318.29</v>
      </c>
      <c r="N31" s="81">
        <f t="shared" si="0"/>
        <v>258915.55000000002</v>
      </c>
      <c r="O31" s="19">
        <f>SUM('TOTAL 2010'!B31:M31)</f>
        <v>240377.95</v>
      </c>
      <c r="P31" s="84">
        <f t="shared" si="1"/>
        <v>7.7118554343274859E-2</v>
      </c>
      <c r="Q31" s="22">
        <f t="shared" si="2"/>
        <v>3.2085082101326471E-3</v>
      </c>
    </row>
    <row r="32" spans="1:17" ht="13" thickBot="1">
      <c r="A32" s="93" t="s">
        <v>41</v>
      </c>
      <c r="B32" s="20">
        <f>'R 2011'!B30+'CR 2011'!C13+'TRT 2011'!B32</f>
        <v>230702.74</v>
      </c>
      <c r="C32" s="20">
        <f>'R 2011'!C30+'CR 2011'!D13+'TRT 2011'!C32</f>
        <v>338257.93999999994</v>
      </c>
      <c r="D32" s="20">
        <f>'R 2011'!D30+'CR 2011'!E13+'TRT 2011'!D32</f>
        <v>271032.92</v>
      </c>
      <c r="E32" s="20">
        <f>'R 2011'!E30+'CR 2011'!F13+'TRT 2011'!E32</f>
        <v>258228.10000000003</v>
      </c>
      <c r="F32" s="20">
        <f>'R 2011'!F30+'CR 2011'!G13+'TRT 2011'!F32</f>
        <v>372884.52</v>
      </c>
      <c r="G32" s="20">
        <f>'R 2011'!G30+'CR 2011'!H13+'TRT 2011'!G32</f>
        <v>340201.37</v>
      </c>
      <c r="H32" s="20">
        <f>'R 2011'!H30+'CR 2011'!I13+'TRT 2011'!H32</f>
        <v>246969.95</v>
      </c>
      <c r="I32" s="20">
        <f>'R 2011'!I30+'CR 2011'!J13+'TRT 2011'!I32</f>
        <v>443139.46</v>
      </c>
      <c r="J32" s="20">
        <f>'R 2011'!J30+'CR 2011'!K13+'TRT 2011'!J32</f>
        <v>278859.59000000003</v>
      </c>
      <c r="K32" s="20">
        <f>'R 2011'!K30+'CR 2011'!L13+'TRT 2011'!K32</f>
        <v>294543.31</v>
      </c>
      <c r="L32" s="20">
        <f>'R 2011'!L30+'CR 2011'!M13+'TRT 2011'!L32</f>
        <v>404559.94</v>
      </c>
      <c r="M32" s="20">
        <f>'R 2011'!M30+'CR 2011'!N13+'TRT 2011'!M32</f>
        <v>282991.58</v>
      </c>
      <c r="N32" s="82">
        <f t="shared" si="0"/>
        <v>3762371.42</v>
      </c>
      <c r="O32" s="19">
        <f>SUM('TOTAL 2010'!B32:M32)</f>
        <v>3678716.83</v>
      </c>
      <c r="P32" s="85">
        <f t="shared" si="1"/>
        <v>2.2740154751188069E-2</v>
      </c>
      <c r="Q32" s="21">
        <f t="shared" si="2"/>
        <v>4.6623694832691298E-2</v>
      </c>
    </row>
    <row r="33" spans="1:17" ht="14" thickTop="1" thickBot="1">
      <c r="A33" s="162" t="s">
        <v>54</v>
      </c>
      <c r="B33" s="163">
        <f t="shared" ref="B33:O33" si="3">SUM(B4:B32)</f>
        <v>4273552.5479999995</v>
      </c>
      <c r="C33" s="164">
        <f t="shared" si="3"/>
        <v>6447776.7000000011</v>
      </c>
      <c r="D33" s="163">
        <f t="shared" si="3"/>
        <v>6680305.5899999999</v>
      </c>
      <c r="E33" s="163">
        <f t="shared" si="3"/>
        <v>6598609.3699999992</v>
      </c>
      <c r="F33" s="163">
        <f t="shared" si="3"/>
        <v>8470500.3200000003</v>
      </c>
      <c r="G33" s="163">
        <f t="shared" si="3"/>
        <v>6804711.04</v>
      </c>
      <c r="H33" s="165">
        <f t="shared" si="3"/>
        <v>5261057.6599999992</v>
      </c>
      <c r="I33" s="163">
        <f t="shared" si="3"/>
        <v>8379096.6599999992</v>
      </c>
      <c r="J33" s="163">
        <f t="shared" si="3"/>
        <v>6326071.0899999999</v>
      </c>
      <c r="K33" s="163">
        <f t="shared" si="3"/>
        <v>7371961.7399999993</v>
      </c>
      <c r="L33" s="163">
        <f t="shared" si="3"/>
        <v>8184555.21</v>
      </c>
      <c r="M33" s="166">
        <f t="shared" si="3"/>
        <v>5898354.1899999985</v>
      </c>
      <c r="N33" s="167">
        <f t="shared" si="3"/>
        <v>80696552.117999986</v>
      </c>
      <c r="O33" s="168">
        <f t="shared" si="3"/>
        <v>75307648.635999978</v>
      </c>
      <c r="P33" s="169">
        <f t="shared" si="1"/>
        <v>7.1558514700775122E-2</v>
      </c>
      <c r="Q33" s="170">
        <f t="shared" si="2"/>
        <v>1</v>
      </c>
    </row>
    <row r="34" spans="1:17">
      <c r="B34" s="28">
        <f>B33/'TOTAL 2010'!B33-1</f>
        <v>4.4219070206592548E-3</v>
      </c>
      <c r="C34" s="28">
        <f>C33/'TOTAL 2010'!C33-1</f>
        <v>0.10612863646614423</v>
      </c>
      <c r="D34" s="28">
        <f>D33/'TOTAL 2010'!D33-1</f>
        <v>6.1000722980150579E-2</v>
      </c>
      <c r="E34" s="28">
        <f>E33/'TOTAL 2010'!E33-1</f>
        <v>0.1033837262465287</v>
      </c>
      <c r="F34" s="28">
        <f>F33/'TOTAL 2010'!F33-1</f>
        <v>6.4942461961185138E-2</v>
      </c>
      <c r="G34" s="28">
        <f>G33/'TOTAL 2010'!G33-1</f>
        <v>0.19451387264806708</v>
      </c>
      <c r="H34" s="28">
        <f>H33/'TOTAL 2010'!H33-1</f>
        <v>-9.3006012761177703E-2</v>
      </c>
      <c r="I34" s="28">
        <f>I33/'TOTAL 2010'!I33-1</f>
        <v>0.10116360754267895</v>
      </c>
      <c r="J34" s="28">
        <f>J33/'TOTAL 2010'!J33-1</f>
        <v>-6.3302303618774536E-2</v>
      </c>
      <c r="K34" s="28">
        <f>K33/'TOTAL 2010'!K33-1</f>
        <v>0.12865404715885287</v>
      </c>
      <c r="L34" s="28">
        <f>L33/'TOTAL 2010'!L33-1</f>
        <v>0.15202110869600327</v>
      </c>
      <c r="M34" s="28">
        <f>M33/'TOTAL 2010'!M33-1</f>
        <v>7.3010859708100062E-2</v>
      </c>
      <c r="N34" s="28"/>
    </row>
    <row r="36" spans="1:17">
      <c r="I36" s="116"/>
    </row>
    <row r="37" spans="1:17">
      <c r="I37" s="116"/>
      <c r="J37" s="121"/>
    </row>
    <row r="38" spans="1:17">
      <c r="I38" s="116"/>
      <c r="J38" s="121"/>
    </row>
    <row r="39" spans="1:17">
      <c r="I39" s="116"/>
    </row>
    <row r="40" spans="1:17">
      <c r="I40" s="116"/>
    </row>
    <row r="41" spans="1:17">
      <c r="I41" s="116"/>
    </row>
  </sheetData>
  <mergeCells count="1">
    <mergeCell ref="A1:Q1"/>
  </mergeCells>
  <phoneticPr fontId="0" type="noConversion"/>
  <pageMargins left="0.25" right="0.25" top="1" bottom="1" header="0.5" footer="0.5"/>
  <pageSetup scale="87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 enableFormatConditionsCalculation="0">
    <tabColor rgb="FF0070C0"/>
    <pageSetUpPr fitToPage="1"/>
  </sheetPr>
  <dimension ref="A1:Z64"/>
  <sheetViews>
    <sheetView workbookViewId="0">
      <selection activeCell="B30" sqref="B30:M30"/>
    </sheetView>
  </sheetViews>
  <sheetFormatPr baseColWidth="10" defaultColWidth="8.83203125" defaultRowHeight="12" x14ac:dyDescent="0"/>
  <cols>
    <col min="1" max="1" width="11.33203125" bestFit="1" customWidth="1"/>
    <col min="2" max="6" width="9.6640625" customWidth="1"/>
    <col min="7" max="7" width="12" customWidth="1"/>
    <col min="8" max="13" width="9.6640625" customWidth="1"/>
    <col min="14" max="14" width="11.1640625" bestFit="1" customWidth="1"/>
    <col min="15" max="15" width="9.5" bestFit="1" customWidth="1"/>
    <col min="16" max="16" width="10.1640625" bestFit="1" customWidth="1"/>
    <col min="17" max="17" width="0" hidden="1" customWidth="1"/>
    <col min="22" max="22" width="11.1640625" bestFit="1" customWidth="1"/>
    <col min="25" max="25" width="12.6640625" style="100" bestFit="1" customWidth="1"/>
  </cols>
  <sheetData>
    <row r="1" spans="1:25" ht="21">
      <c r="A1" s="691" t="s">
        <v>121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25" ht="13" thickBot="1"/>
    <row r="3" spans="1:25" ht="13" thickBot="1">
      <c r="A3" s="129" t="s">
        <v>42</v>
      </c>
      <c r="B3" s="130" t="s">
        <v>2</v>
      </c>
      <c r="C3" s="131" t="s">
        <v>3</v>
      </c>
      <c r="D3" s="131" t="s">
        <v>4</v>
      </c>
      <c r="E3" s="131" t="s">
        <v>5</v>
      </c>
      <c r="F3" s="131" t="s">
        <v>6</v>
      </c>
      <c r="G3" s="131" t="s">
        <v>7</v>
      </c>
      <c r="H3" s="131" t="s">
        <v>8</v>
      </c>
      <c r="I3" s="131" t="s">
        <v>9</v>
      </c>
      <c r="J3" s="131" t="s">
        <v>10</v>
      </c>
      <c r="K3" s="131" t="s">
        <v>11</v>
      </c>
      <c r="L3" s="131" t="s">
        <v>12</v>
      </c>
      <c r="M3" s="132" t="s">
        <v>13</v>
      </c>
      <c r="N3" s="204" t="s">
        <v>119</v>
      </c>
      <c r="O3" s="131" t="s">
        <v>112</v>
      </c>
      <c r="P3" s="131" t="s">
        <v>16</v>
      </c>
      <c r="Q3" s="143"/>
    </row>
    <row r="4" spans="1:25">
      <c r="A4" s="49" t="s">
        <v>17</v>
      </c>
      <c r="B4" s="50">
        <v>11230.67</v>
      </c>
      <c r="C4" s="50">
        <v>13752.93</v>
      </c>
      <c r="D4" s="50">
        <v>8261.4500000000007</v>
      </c>
      <c r="E4" s="50">
        <v>5918.01</v>
      </c>
      <c r="F4" s="50">
        <v>23281.82</v>
      </c>
      <c r="G4" s="50">
        <v>8860.84</v>
      </c>
      <c r="H4" s="50">
        <v>9870.7800000000007</v>
      </c>
      <c r="I4" s="50">
        <v>33748.43</v>
      </c>
      <c r="J4" s="50">
        <v>16771.75</v>
      </c>
      <c r="K4" s="50">
        <v>15744.87</v>
      </c>
      <c r="L4" s="50">
        <v>36618.300000000003</v>
      </c>
      <c r="M4" s="50">
        <v>9504.7099999999991</v>
      </c>
      <c r="N4" s="205">
        <f t="shared" ref="N4:N32" si="0">SUM(B4:M4)</f>
        <v>193564.55999999997</v>
      </c>
      <c r="O4" s="19">
        <f>SUM('TRT 2011'!B4:M4)</f>
        <v>199738.98</v>
      </c>
      <c r="P4" s="77">
        <f t="shared" ref="P4:P33" si="1">N4/O4-1</f>
        <v>-3.0912443830443337E-2</v>
      </c>
      <c r="Q4" s="49" t="s">
        <v>17</v>
      </c>
    </row>
    <row r="5" spans="1:25">
      <c r="A5" s="49" t="s">
        <v>18</v>
      </c>
      <c r="B5" s="50">
        <v>7040.16</v>
      </c>
      <c r="C5" s="50">
        <v>14246.7</v>
      </c>
      <c r="D5" s="50">
        <v>7486.76</v>
      </c>
      <c r="E5" s="50">
        <v>10566.92</v>
      </c>
      <c r="F5" s="50">
        <v>18153.78</v>
      </c>
      <c r="G5" s="50">
        <v>11353.6</v>
      </c>
      <c r="H5" s="50">
        <v>15097.84</v>
      </c>
      <c r="I5" s="50">
        <v>29719.68</v>
      </c>
      <c r="J5" s="50">
        <v>18065.759999999998</v>
      </c>
      <c r="K5" s="50">
        <v>12385.29</v>
      </c>
      <c r="L5" s="50">
        <v>31127.24</v>
      </c>
      <c r="M5" s="50">
        <v>10953.51</v>
      </c>
      <c r="N5" s="203">
        <f t="shared" si="0"/>
        <v>186197.24000000002</v>
      </c>
      <c r="O5" s="19">
        <f>SUM('TRT 2011'!B5:M5)</f>
        <v>209644.66999999998</v>
      </c>
      <c r="P5" s="77">
        <f t="shared" si="1"/>
        <v>-0.11184367339269807</v>
      </c>
      <c r="Q5" s="49" t="s">
        <v>18</v>
      </c>
    </row>
    <row r="6" spans="1:25">
      <c r="A6" s="147" t="s">
        <v>19</v>
      </c>
      <c r="B6" s="50">
        <v>24118.98</v>
      </c>
      <c r="C6" s="50">
        <v>22905.58</v>
      </c>
      <c r="D6" s="50">
        <v>17825.400000000001</v>
      </c>
      <c r="E6" s="50">
        <v>22566.78</v>
      </c>
      <c r="F6" s="50">
        <v>26103.33</v>
      </c>
      <c r="G6" s="50">
        <v>30501.46</v>
      </c>
      <c r="H6" s="50">
        <v>28229.919999999998</v>
      </c>
      <c r="I6" s="50">
        <v>50024.75</v>
      </c>
      <c r="J6" s="50">
        <v>38283.519999999997</v>
      </c>
      <c r="K6" s="50">
        <v>51176</v>
      </c>
      <c r="L6" s="50">
        <v>36557.1</v>
      </c>
      <c r="M6" s="50">
        <v>24342.89</v>
      </c>
      <c r="N6" s="203">
        <f t="shared" si="0"/>
        <v>372635.70999999996</v>
      </c>
      <c r="O6" s="19">
        <f>SUM('TRT 2011'!B6:M6)</f>
        <v>359159.64</v>
      </c>
      <c r="P6" s="77">
        <f t="shared" si="1"/>
        <v>3.7521114566213321E-2</v>
      </c>
      <c r="Q6" s="49" t="s">
        <v>19</v>
      </c>
    </row>
    <row r="7" spans="1:25">
      <c r="A7" s="147" t="s">
        <v>20</v>
      </c>
      <c r="B7" s="50">
        <v>21705.16</v>
      </c>
      <c r="C7" s="50">
        <v>24501.279999999999</v>
      </c>
      <c r="D7" s="50">
        <v>14062.79</v>
      </c>
      <c r="E7" s="50">
        <v>9169.02</v>
      </c>
      <c r="F7" s="50">
        <v>26001.66</v>
      </c>
      <c r="G7" s="50">
        <v>21180.82</v>
      </c>
      <c r="H7" s="50">
        <v>23862.75</v>
      </c>
      <c r="I7" s="50">
        <v>28843.31</v>
      </c>
      <c r="J7" s="50">
        <v>28847.759999999998</v>
      </c>
      <c r="K7" s="50">
        <v>23824.99</v>
      </c>
      <c r="L7" s="50">
        <v>22867.759999999998</v>
      </c>
      <c r="M7" s="50">
        <v>25408.75</v>
      </c>
      <c r="N7" s="203">
        <f t="shared" si="0"/>
        <v>270276.05000000005</v>
      </c>
      <c r="O7" s="19">
        <f>SUM('TRT 2011'!B7:M7)</f>
        <v>288232.17</v>
      </c>
      <c r="P7" s="77">
        <f t="shared" si="1"/>
        <v>-6.2297418084872103E-2</v>
      </c>
      <c r="Q7" s="49" t="s">
        <v>20</v>
      </c>
    </row>
    <row r="8" spans="1:25">
      <c r="A8" s="147" t="s">
        <v>21</v>
      </c>
      <c r="B8" s="50">
        <v>1793.93</v>
      </c>
      <c r="C8" s="50">
        <v>2449.21</v>
      </c>
      <c r="D8" s="50">
        <v>479.2</v>
      </c>
      <c r="E8" s="50">
        <v>1845.98</v>
      </c>
      <c r="F8" s="50">
        <v>3245.16</v>
      </c>
      <c r="G8" s="50">
        <v>4756.63</v>
      </c>
      <c r="H8" s="50">
        <v>7128.68</v>
      </c>
      <c r="I8" s="50">
        <v>13519.66</v>
      </c>
      <c r="J8" s="50">
        <v>7164.07</v>
      </c>
      <c r="K8" s="50">
        <v>10828.23</v>
      </c>
      <c r="L8" s="50">
        <v>11137.03</v>
      </c>
      <c r="M8" s="50">
        <v>2149.19</v>
      </c>
      <c r="N8" s="203">
        <f t="shared" si="0"/>
        <v>66496.97</v>
      </c>
      <c r="O8" s="19">
        <f>SUM('TRT 2011'!B8:M8)</f>
        <v>62080.729999999996</v>
      </c>
      <c r="P8" s="77">
        <f t="shared" si="1"/>
        <v>7.1137050095899435E-2</v>
      </c>
      <c r="Q8" s="49" t="s">
        <v>21</v>
      </c>
    </row>
    <row r="9" spans="1:25">
      <c r="A9" s="147" t="s">
        <v>22</v>
      </c>
      <c r="B9" s="50">
        <v>68734.710000000006</v>
      </c>
      <c r="C9" s="50">
        <v>67419.45</v>
      </c>
      <c r="D9" s="50">
        <v>67715.8</v>
      </c>
      <c r="E9" s="50">
        <v>55973.17</v>
      </c>
      <c r="F9" s="50">
        <v>103481.9</v>
      </c>
      <c r="G9" s="50">
        <v>94989</v>
      </c>
      <c r="H9" s="50">
        <v>81290.240000000005</v>
      </c>
      <c r="I9" s="50">
        <v>131752.18</v>
      </c>
      <c r="J9" s="50">
        <v>95657.29</v>
      </c>
      <c r="K9" s="50">
        <v>123529.35</v>
      </c>
      <c r="L9" s="50">
        <v>102395.05</v>
      </c>
      <c r="M9" s="50">
        <v>77198.59</v>
      </c>
      <c r="N9" s="203">
        <f t="shared" si="0"/>
        <v>1070136.73</v>
      </c>
      <c r="O9" s="19">
        <f>SUM('TRT 2011'!B9:M9)</f>
        <v>894437.13000000012</v>
      </c>
      <c r="P9" s="77">
        <f t="shared" si="1"/>
        <v>0.1964359417860928</v>
      </c>
      <c r="Q9" s="49" t="s">
        <v>22</v>
      </c>
    </row>
    <row r="10" spans="1:25">
      <c r="A10" s="147" t="s">
        <v>23</v>
      </c>
      <c r="B10" s="50">
        <v>6391.12</v>
      </c>
      <c r="C10" s="50">
        <v>5386.26</v>
      </c>
      <c r="D10" s="50">
        <v>6216.13</v>
      </c>
      <c r="E10" s="50">
        <v>2620.21</v>
      </c>
      <c r="F10" s="50">
        <v>15044.46</v>
      </c>
      <c r="G10" s="50">
        <v>8669.24</v>
      </c>
      <c r="H10" s="50">
        <v>6777.84</v>
      </c>
      <c r="I10" s="50">
        <v>16584.3</v>
      </c>
      <c r="J10" s="50">
        <v>3704.89</v>
      </c>
      <c r="K10" s="50">
        <v>13119.33</v>
      </c>
      <c r="L10" s="50">
        <v>15600.92</v>
      </c>
      <c r="M10" s="50">
        <v>4654.28</v>
      </c>
      <c r="N10" s="203">
        <f t="shared" si="0"/>
        <v>104768.98</v>
      </c>
      <c r="O10" s="19">
        <f>SUM('TRT 2011'!B10:M10)</f>
        <v>65708.100000000006</v>
      </c>
      <c r="P10" s="77">
        <f t="shared" si="1"/>
        <v>0.59446065249185387</v>
      </c>
      <c r="Q10" s="49" t="s">
        <v>23</v>
      </c>
    </row>
    <row r="11" spans="1:25">
      <c r="A11" s="147" t="s">
        <v>51</v>
      </c>
      <c r="B11" s="120">
        <v>10569.75</v>
      </c>
      <c r="C11" s="120">
        <v>12788.3</v>
      </c>
      <c r="D11" s="120">
        <v>5126.49</v>
      </c>
      <c r="E11" s="120">
        <v>9827.18</v>
      </c>
      <c r="F11" s="120">
        <v>20155.080000000002</v>
      </c>
      <c r="G11" s="120">
        <v>26439.74</v>
      </c>
      <c r="H11" s="120">
        <v>38849.35</v>
      </c>
      <c r="I11" s="120">
        <v>49832.160000000003</v>
      </c>
      <c r="J11" s="120">
        <v>27784.83</v>
      </c>
      <c r="K11" s="120">
        <v>39607.120000000003</v>
      </c>
      <c r="L11" s="120">
        <v>37667.86</v>
      </c>
      <c r="M11" s="120">
        <v>25062.05</v>
      </c>
      <c r="N11" s="203">
        <f t="shared" si="0"/>
        <v>303709.90999999997</v>
      </c>
      <c r="O11" s="19">
        <f>SUM('TRT 2011'!B11:M11)</f>
        <v>263782.73</v>
      </c>
      <c r="P11" s="201">
        <f t="shared" si="1"/>
        <v>0.15136388951619395</v>
      </c>
      <c r="Q11" s="49" t="s">
        <v>51</v>
      </c>
    </row>
    <row r="12" spans="1:25">
      <c r="A12" s="147" t="s">
        <v>24</v>
      </c>
      <c r="B12" s="120">
        <v>13771</v>
      </c>
      <c r="C12" s="120">
        <v>42469.15</v>
      </c>
      <c r="D12" s="120">
        <v>6461.79</v>
      </c>
      <c r="E12" s="120">
        <v>17064.07</v>
      </c>
      <c r="F12" s="120">
        <v>38646.86</v>
      </c>
      <c r="G12" s="120">
        <v>78022.539999999994</v>
      </c>
      <c r="H12" s="120">
        <v>145648.65</v>
      </c>
      <c r="I12" s="120">
        <v>163392.18</v>
      </c>
      <c r="J12" s="120">
        <v>147545.66</v>
      </c>
      <c r="K12" s="120">
        <v>172048.19</v>
      </c>
      <c r="L12" s="120">
        <v>232770.92</v>
      </c>
      <c r="M12" s="120">
        <v>103689.48</v>
      </c>
      <c r="N12" s="203">
        <f t="shared" si="0"/>
        <v>1161530.49</v>
      </c>
      <c r="O12" s="19">
        <f>SUM('TRT 2011'!B12:M12)</f>
        <v>1152727.76</v>
      </c>
      <c r="P12" s="201">
        <f t="shared" si="1"/>
        <v>7.6364344691413066E-3</v>
      </c>
      <c r="Q12" s="49" t="s">
        <v>24</v>
      </c>
    </row>
    <row r="13" spans="1:25">
      <c r="A13" s="147" t="s">
        <v>25</v>
      </c>
      <c r="B13" s="120">
        <v>47704.9</v>
      </c>
      <c r="C13" s="120">
        <v>46703.14</v>
      </c>
      <c r="D13" s="120">
        <v>20213.009999999998</v>
      </c>
      <c r="E13" s="120">
        <v>43639.09</v>
      </c>
      <c r="F13" s="120">
        <v>157429.19</v>
      </c>
      <c r="G13" s="120">
        <v>172694.94</v>
      </c>
      <c r="H13" s="120">
        <v>251253.12</v>
      </c>
      <c r="I13" s="120">
        <v>323946.2</v>
      </c>
      <c r="J13" s="120">
        <v>179154.55</v>
      </c>
      <c r="K13" s="120">
        <v>212885.33</v>
      </c>
      <c r="L13" s="120">
        <v>259742.2</v>
      </c>
      <c r="M13" s="120">
        <v>151649.93</v>
      </c>
      <c r="N13" s="203">
        <f t="shared" si="0"/>
        <v>1867015.6</v>
      </c>
      <c r="O13" s="19">
        <f>SUM('TRT 2011'!B13:M13)</f>
        <v>1591362.3900000001</v>
      </c>
      <c r="P13" s="201">
        <f t="shared" si="1"/>
        <v>0.17321837673944263</v>
      </c>
      <c r="Q13" s="49" t="s">
        <v>25</v>
      </c>
    </row>
    <row r="14" spans="1:25">
      <c r="A14" s="147" t="s">
        <v>26</v>
      </c>
      <c r="B14" s="120">
        <v>41307.26</v>
      </c>
      <c r="C14" s="120">
        <v>74477.75</v>
      </c>
      <c r="D14" s="120">
        <v>36725.42</v>
      </c>
      <c r="E14" s="120">
        <v>40549.31</v>
      </c>
      <c r="F14" s="120">
        <v>81657.429999999993</v>
      </c>
      <c r="G14" s="120">
        <v>54980.04</v>
      </c>
      <c r="H14" s="120">
        <v>46344.76</v>
      </c>
      <c r="I14" s="120">
        <v>140192.9</v>
      </c>
      <c r="J14" s="120">
        <v>96569.77</v>
      </c>
      <c r="K14" s="120">
        <v>128857.54</v>
      </c>
      <c r="L14" s="120">
        <v>99040.5</v>
      </c>
      <c r="M14" s="120">
        <v>67736.759999999995</v>
      </c>
      <c r="N14" s="203">
        <f t="shared" si="0"/>
        <v>908439.44000000006</v>
      </c>
      <c r="O14" s="19">
        <f>SUM('TRT 2011'!B14:M14)</f>
        <v>843708.21999999986</v>
      </c>
      <c r="P14" s="201">
        <f t="shared" si="1"/>
        <v>7.6722282023043764E-2</v>
      </c>
      <c r="Q14" s="49" t="s">
        <v>26</v>
      </c>
    </row>
    <row r="15" spans="1:25">
      <c r="A15" s="147" t="s">
        <v>27</v>
      </c>
      <c r="B15" s="120">
        <v>3415.95</v>
      </c>
      <c r="C15" s="120">
        <v>8118.4</v>
      </c>
      <c r="D15" s="120">
        <v>1999.42</v>
      </c>
      <c r="E15" s="120">
        <v>1616.06</v>
      </c>
      <c r="F15" s="120">
        <v>7764.09</v>
      </c>
      <c r="G15" s="120">
        <v>2604.5</v>
      </c>
      <c r="H15" s="120">
        <v>5249.23</v>
      </c>
      <c r="I15" s="120">
        <v>17025.63</v>
      </c>
      <c r="J15" s="120">
        <v>3145.25</v>
      </c>
      <c r="K15" s="120">
        <v>5026.54</v>
      </c>
      <c r="L15" s="120">
        <v>14256.01</v>
      </c>
      <c r="M15" s="120">
        <v>2317.09</v>
      </c>
      <c r="N15" s="203">
        <f t="shared" si="0"/>
        <v>72538.17</v>
      </c>
      <c r="O15" s="19">
        <f>SUM('TRT 2011'!B15:M15)</f>
        <v>69043.679999999993</v>
      </c>
      <c r="P15" s="201">
        <f t="shared" si="1"/>
        <v>5.0612742542112565E-2</v>
      </c>
      <c r="Q15" s="49" t="s">
        <v>27</v>
      </c>
    </row>
    <row r="16" spans="1:25">
      <c r="A16" s="147" t="s">
        <v>28</v>
      </c>
      <c r="B16" s="120">
        <v>46740.959999999999</v>
      </c>
      <c r="C16" s="120">
        <v>38263.760000000002</v>
      </c>
      <c r="D16" s="120">
        <v>17283.330000000002</v>
      </c>
      <c r="E16" s="120">
        <v>25904.46</v>
      </c>
      <c r="F16" s="120">
        <v>98803.39</v>
      </c>
      <c r="G16" s="120">
        <v>191939.12</v>
      </c>
      <c r="H16" s="120">
        <v>103277.84</v>
      </c>
      <c r="I16" s="120">
        <v>217363.99</v>
      </c>
      <c r="J16" s="120">
        <v>143830.9</v>
      </c>
      <c r="K16" s="120">
        <v>157304.85999999999</v>
      </c>
      <c r="L16" s="120">
        <v>193051</v>
      </c>
      <c r="M16" s="120">
        <v>102844.12</v>
      </c>
      <c r="N16" s="203">
        <f t="shared" si="0"/>
        <v>1336607.73</v>
      </c>
      <c r="O16" s="19">
        <f>SUM('TRT 2011'!B16:M16)</f>
        <v>1100586.73</v>
      </c>
      <c r="P16" s="201">
        <f t="shared" si="1"/>
        <v>0.21445015968891434</v>
      </c>
      <c r="Q16" s="49" t="s">
        <v>28</v>
      </c>
      <c r="Y16" s="223" t="s">
        <v>138</v>
      </c>
    </row>
    <row r="17" spans="1:26">
      <c r="A17" s="147" t="s">
        <v>52</v>
      </c>
      <c r="B17" s="120">
        <v>6276.2</v>
      </c>
      <c r="C17" s="120">
        <v>8015.09</v>
      </c>
      <c r="D17" s="120">
        <v>5097.25</v>
      </c>
      <c r="E17" s="120">
        <v>3477.52</v>
      </c>
      <c r="F17" s="120">
        <v>8633.5</v>
      </c>
      <c r="G17" s="120">
        <v>10208.120000000001</v>
      </c>
      <c r="H17" s="120">
        <v>10571.76</v>
      </c>
      <c r="I17" s="120">
        <v>21382.240000000002</v>
      </c>
      <c r="J17" s="120">
        <v>6533.92</v>
      </c>
      <c r="K17" s="120">
        <v>5881.33</v>
      </c>
      <c r="L17" s="120">
        <v>18962.509999999998</v>
      </c>
      <c r="M17" s="120">
        <v>4656.07</v>
      </c>
      <c r="N17" s="203">
        <f t="shared" si="0"/>
        <v>109695.51000000001</v>
      </c>
      <c r="O17" s="19">
        <f>SUM('TRT 2011'!B17:M17)</f>
        <v>117003.57</v>
      </c>
      <c r="P17" s="201">
        <f t="shared" si="1"/>
        <v>-6.2460145446844084E-2</v>
      </c>
      <c r="Q17" s="49" t="s">
        <v>52</v>
      </c>
      <c r="V17" s="100">
        <f>SUM(H33:M33)</f>
        <v>19738517.260000002</v>
      </c>
      <c r="X17" s="222"/>
      <c r="Y17" s="100">
        <v>1891806.28</v>
      </c>
      <c r="Z17" s="222" t="s">
        <v>130</v>
      </c>
    </row>
    <row r="18" spans="1:26">
      <c r="A18" s="147" t="s">
        <v>29</v>
      </c>
      <c r="B18" s="120">
        <v>209.84</v>
      </c>
      <c r="C18" s="120">
        <v>227.16</v>
      </c>
      <c r="D18" s="120">
        <v>44.28</v>
      </c>
      <c r="E18" s="120">
        <v>28.68</v>
      </c>
      <c r="F18" s="120">
        <v>174.37</v>
      </c>
      <c r="G18" s="120">
        <v>599.30999999999995</v>
      </c>
      <c r="H18" s="120">
        <v>856.95</v>
      </c>
      <c r="I18" s="120">
        <v>813.24</v>
      </c>
      <c r="J18" s="120">
        <v>596.52</v>
      </c>
      <c r="K18" s="120">
        <v>500.32</v>
      </c>
      <c r="L18" s="120">
        <v>360.18</v>
      </c>
      <c r="M18" s="120">
        <v>23.44</v>
      </c>
      <c r="N18" s="203">
        <f t="shared" si="0"/>
        <v>4434.29</v>
      </c>
      <c r="O18" s="19">
        <f>SUM('TRT 2011'!B18:M18)</f>
        <v>4867.3499999999995</v>
      </c>
      <c r="P18" s="201">
        <f t="shared" si="1"/>
        <v>-8.8972438801401044E-2</v>
      </c>
      <c r="Q18" s="49" t="s">
        <v>29</v>
      </c>
      <c r="X18" s="222"/>
      <c r="Y18" s="100">
        <v>2996790.96</v>
      </c>
      <c r="Z18" s="222" t="s">
        <v>131</v>
      </c>
    </row>
    <row r="19" spans="1:26">
      <c r="A19" s="147" t="s">
        <v>53</v>
      </c>
      <c r="B19" s="120">
        <v>315.37</v>
      </c>
      <c r="C19" s="120">
        <v>1132.1500000000001</v>
      </c>
      <c r="D19" s="120">
        <v>123.54</v>
      </c>
      <c r="E19" s="120">
        <v>233.46</v>
      </c>
      <c r="F19" s="120">
        <v>416.02</v>
      </c>
      <c r="G19" s="120">
        <v>273.02</v>
      </c>
      <c r="H19" s="120">
        <v>587.76</v>
      </c>
      <c r="I19" s="120">
        <v>5549.81</v>
      </c>
      <c r="J19" s="120">
        <v>240.18</v>
      </c>
      <c r="K19" s="120">
        <v>2410.88</v>
      </c>
      <c r="L19" s="120">
        <v>6768.26</v>
      </c>
      <c r="M19" s="120">
        <v>6.56</v>
      </c>
      <c r="N19" s="203">
        <f t="shared" si="0"/>
        <v>18057.010000000006</v>
      </c>
      <c r="O19" s="19">
        <f>SUM('TRT 2011'!B19:M19)</f>
        <v>14793.810000000001</v>
      </c>
      <c r="P19" s="201">
        <f t="shared" si="1"/>
        <v>0.22057874205495431</v>
      </c>
      <c r="Q19" s="49" t="s">
        <v>53</v>
      </c>
      <c r="X19" s="222"/>
      <c r="Y19" s="100">
        <v>2741962.03</v>
      </c>
      <c r="Z19" s="222" t="s">
        <v>132</v>
      </c>
    </row>
    <row r="20" spans="1:26">
      <c r="A20" s="147" t="s">
        <v>30</v>
      </c>
      <c r="B20" s="120">
        <v>12408.72</v>
      </c>
      <c r="C20" s="120">
        <v>7668.6</v>
      </c>
      <c r="D20" s="120">
        <v>407.07</v>
      </c>
      <c r="E20" s="120">
        <v>1885.97</v>
      </c>
      <c r="F20" s="120">
        <v>17366.86</v>
      </c>
      <c r="G20" s="120">
        <v>2431.85</v>
      </c>
      <c r="H20" s="120">
        <v>8629.89</v>
      </c>
      <c r="I20" s="120">
        <v>29102.23</v>
      </c>
      <c r="J20" s="120">
        <v>13641.13</v>
      </c>
      <c r="K20" s="120">
        <v>16273.52</v>
      </c>
      <c r="L20" s="120">
        <v>58361.56</v>
      </c>
      <c r="M20" s="120">
        <v>1664.18</v>
      </c>
      <c r="N20" s="203">
        <f t="shared" si="0"/>
        <v>169841.58000000002</v>
      </c>
      <c r="O20" s="19">
        <f>SUM('TRT 2011'!B20:M20)</f>
        <v>112707.81</v>
      </c>
      <c r="P20" s="201">
        <f t="shared" si="1"/>
        <v>0.50691935190649184</v>
      </c>
      <c r="Q20" s="49" t="s">
        <v>30</v>
      </c>
      <c r="X20" s="222"/>
      <c r="Y20" s="100">
        <v>3305438.69</v>
      </c>
      <c r="Z20" s="222" t="s">
        <v>133</v>
      </c>
    </row>
    <row r="21" spans="1:26">
      <c r="A21" s="147" t="s">
        <v>31</v>
      </c>
      <c r="B21" s="120">
        <v>729900.18</v>
      </c>
      <c r="C21" s="120">
        <v>916757.04</v>
      </c>
      <c r="D21" s="120">
        <v>1065719.08</v>
      </c>
      <c r="E21" s="120">
        <v>1142156.49</v>
      </c>
      <c r="F21" s="120">
        <v>1441973.9</v>
      </c>
      <c r="G21" s="120">
        <v>955897.59</v>
      </c>
      <c r="H21" s="120">
        <v>993566.05</v>
      </c>
      <c r="I21" s="120">
        <v>1160815.31</v>
      </c>
      <c r="J21" s="120">
        <v>946343.14</v>
      </c>
      <c r="K21" s="120">
        <v>1132631.6100000001</v>
      </c>
      <c r="L21" s="120">
        <v>1109034.32</v>
      </c>
      <c r="M21" s="120">
        <v>985963.31</v>
      </c>
      <c r="N21" s="203">
        <f t="shared" si="0"/>
        <v>12580758.02</v>
      </c>
      <c r="O21" s="19">
        <f>SUM('TRT 2011'!B21:M21)</f>
        <v>11841133.85</v>
      </c>
      <c r="P21" s="201">
        <f t="shared" si="1"/>
        <v>6.2462275941589818E-2</v>
      </c>
      <c r="Q21" s="49" t="s">
        <v>31</v>
      </c>
      <c r="X21" s="222"/>
      <c r="Y21" s="100">
        <v>3372094.99</v>
      </c>
      <c r="Z21" s="222" t="s">
        <v>134</v>
      </c>
    </row>
    <row r="22" spans="1:26">
      <c r="A22" s="147" t="s">
        <v>45</v>
      </c>
      <c r="B22" s="120">
        <v>19388.810000000001</v>
      </c>
      <c r="C22" s="120">
        <v>17353.419999999998</v>
      </c>
      <c r="D22" s="120">
        <v>8327.0499999999993</v>
      </c>
      <c r="E22" s="120">
        <v>22745.41</v>
      </c>
      <c r="F22" s="120">
        <v>31111.91</v>
      </c>
      <c r="G22" s="120">
        <v>36269.26</v>
      </c>
      <c r="H22" s="120">
        <v>68692.259999999995</v>
      </c>
      <c r="I22" s="120">
        <v>83384.820000000007</v>
      </c>
      <c r="J22" s="120">
        <v>50275.17</v>
      </c>
      <c r="K22" s="120">
        <v>78837.64</v>
      </c>
      <c r="L22" s="120">
        <v>73043.03</v>
      </c>
      <c r="M22" s="120">
        <v>43912.26</v>
      </c>
      <c r="N22" s="203">
        <f t="shared" si="0"/>
        <v>533341.04</v>
      </c>
      <c r="O22" s="19">
        <f>SUM('TRT 2011'!B22:M22)</f>
        <v>503005.37</v>
      </c>
      <c r="P22" s="201">
        <f t="shared" si="1"/>
        <v>6.0308839247581014E-2</v>
      </c>
      <c r="Q22" s="49" t="s">
        <v>45</v>
      </c>
      <c r="X22" s="222"/>
      <c r="Y22" s="221">
        <v>2499159.14</v>
      </c>
      <c r="Z22" s="222" t="s">
        <v>135</v>
      </c>
    </row>
    <row r="23" spans="1:26">
      <c r="A23" s="147" t="s">
        <v>32</v>
      </c>
      <c r="B23" s="120">
        <v>1797.21</v>
      </c>
      <c r="C23" s="120">
        <v>13711.93</v>
      </c>
      <c r="D23" s="120">
        <v>1788.79</v>
      </c>
      <c r="E23" s="120">
        <v>883.3</v>
      </c>
      <c r="F23" s="120">
        <v>10672.54</v>
      </c>
      <c r="G23" s="120">
        <v>1345.59</v>
      </c>
      <c r="H23" s="120">
        <v>3044.35</v>
      </c>
      <c r="I23" s="120">
        <v>25981.82</v>
      </c>
      <c r="J23" s="120">
        <v>1875.87</v>
      </c>
      <c r="K23" s="120">
        <v>11618.57</v>
      </c>
      <c r="L23" s="120">
        <v>14010.88</v>
      </c>
      <c r="M23" s="120">
        <v>126.23</v>
      </c>
      <c r="N23" s="203">
        <f t="shared" si="0"/>
        <v>86857.08</v>
      </c>
      <c r="O23" s="19">
        <f>SUM('TRT 2011'!B23:M23)</f>
        <v>72433.35000000002</v>
      </c>
      <c r="P23" s="201">
        <f t="shared" si="1"/>
        <v>0.19913106324641872</v>
      </c>
      <c r="Q23" s="49" t="s">
        <v>32</v>
      </c>
      <c r="Y23" s="100">
        <f>SUM(Y17:Y22)</f>
        <v>16807252.09</v>
      </c>
    </row>
    <row r="24" spans="1:26">
      <c r="A24" s="147" t="s">
        <v>33</v>
      </c>
      <c r="B24" s="120">
        <v>18019.060000000001</v>
      </c>
      <c r="C24" s="120">
        <v>19232.71</v>
      </c>
      <c r="D24" s="120">
        <v>18084.310000000001</v>
      </c>
      <c r="E24" s="120">
        <v>17624.82</v>
      </c>
      <c r="F24" s="120">
        <v>25835.45</v>
      </c>
      <c r="G24" s="120">
        <v>25861.06</v>
      </c>
      <c r="H24" s="120">
        <v>42221.61</v>
      </c>
      <c r="I24" s="120">
        <v>62290.28</v>
      </c>
      <c r="J24" s="120">
        <v>51849.57</v>
      </c>
      <c r="K24" s="120">
        <v>41664.49</v>
      </c>
      <c r="L24" s="120">
        <v>57160.88</v>
      </c>
      <c r="M24" s="120">
        <v>29433.919999999998</v>
      </c>
      <c r="N24" s="203">
        <f t="shared" si="0"/>
        <v>409278.16</v>
      </c>
      <c r="O24" s="19">
        <f>SUM('TRT 2011'!B24:M24)</f>
        <v>359913.21</v>
      </c>
      <c r="P24" s="201">
        <f t="shared" si="1"/>
        <v>0.13715792760149026</v>
      </c>
      <c r="Q24" s="49" t="s">
        <v>33</v>
      </c>
      <c r="Y24" s="100">
        <v>16320706</v>
      </c>
      <c r="Z24" s="222" t="s">
        <v>136</v>
      </c>
    </row>
    <row r="25" spans="1:26">
      <c r="A25" s="147" t="s">
        <v>34</v>
      </c>
      <c r="B25" s="120">
        <v>170176.99</v>
      </c>
      <c r="C25" s="120">
        <v>776049.29</v>
      </c>
      <c r="D25" s="120">
        <v>1019199.99</v>
      </c>
      <c r="E25" s="120">
        <v>1033826.55</v>
      </c>
      <c r="F25" s="120">
        <v>1098162.77</v>
      </c>
      <c r="G25" s="120">
        <v>222011.42</v>
      </c>
      <c r="H25" s="120">
        <v>105764.18</v>
      </c>
      <c r="I25" s="120">
        <v>238296.55</v>
      </c>
      <c r="J25" s="120">
        <v>282635.67</v>
      </c>
      <c r="K25" s="120">
        <v>319065.34000000003</v>
      </c>
      <c r="L25" s="120">
        <v>253988.39</v>
      </c>
      <c r="M25" s="120">
        <v>174673.41</v>
      </c>
      <c r="N25" s="203">
        <f t="shared" si="0"/>
        <v>5693850.5499999998</v>
      </c>
      <c r="O25" s="19">
        <f>SUM('TRT 2011'!B25:M25)</f>
        <v>5014020.6900000013</v>
      </c>
      <c r="P25" s="201">
        <f t="shared" si="1"/>
        <v>0.13558577078787404</v>
      </c>
      <c r="Q25" s="49" t="s">
        <v>34</v>
      </c>
      <c r="Y25" s="100">
        <f>Y23-Y24</f>
        <v>486546.08999999985</v>
      </c>
      <c r="Z25" s="222" t="s">
        <v>137</v>
      </c>
    </row>
    <row r="26" spans="1:26">
      <c r="A26" s="147" t="s">
        <v>35</v>
      </c>
      <c r="B26" s="120">
        <v>13660.81</v>
      </c>
      <c r="C26" s="120">
        <v>15573.48</v>
      </c>
      <c r="D26" s="120">
        <v>18297.68</v>
      </c>
      <c r="E26" s="120">
        <v>15530.2</v>
      </c>
      <c r="F26" s="120">
        <v>24371.77</v>
      </c>
      <c r="G26" s="120">
        <v>20446.849999999999</v>
      </c>
      <c r="H26" s="120">
        <v>22218.35</v>
      </c>
      <c r="I26" s="120">
        <v>30981.16</v>
      </c>
      <c r="J26" s="120">
        <v>24070.05</v>
      </c>
      <c r="K26" s="120">
        <v>37611.74</v>
      </c>
      <c r="L26" s="120">
        <v>33888.629999999997</v>
      </c>
      <c r="M26" s="120">
        <v>29347.65</v>
      </c>
      <c r="N26" s="203">
        <f t="shared" si="0"/>
        <v>285998.37</v>
      </c>
      <c r="O26" s="19">
        <f>SUM('TRT 2011'!B26:M26)</f>
        <v>259468.73</v>
      </c>
      <c r="P26" s="201">
        <f t="shared" si="1"/>
        <v>0.10224600089575331</v>
      </c>
      <c r="Q26" s="49" t="s">
        <v>35</v>
      </c>
    </row>
    <row r="27" spans="1:26">
      <c r="A27" s="147" t="s">
        <v>36</v>
      </c>
      <c r="B27" s="120">
        <v>46021.09</v>
      </c>
      <c r="C27" s="120">
        <v>48928.22</v>
      </c>
      <c r="D27" s="120">
        <v>61403.23</v>
      </c>
      <c r="E27" s="120">
        <v>42595.43</v>
      </c>
      <c r="F27" s="120">
        <v>61517.03</v>
      </c>
      <c r="G27" s="120">
        <v>82200.850000000006</v>
      </c>
      <c r="H27" s="120">
        <v>79903.95</v>
      </c>
      <c r="I27" s="120">
        <v>116925.44</v>
      </c>
      <c r="J27" s="120">
        <v>80565.14</v>
      </c>
      <c r="K27" s="120">
        <v>114096.67</v>
      </c>
      <c r="L27" s="120">
        <v>76767.69</v>
      </c>
      <c r="M27" s="120">
        <v>86524.36</v>
      </c>
      <c r="N27" s="203">
        <f t="shared" si="0"/>
        <v>897449.1</v>
      </c>
      <c r="O27" s="19">
        <f>SUM('TRT 2011'!B27:M27)</f>
        <v>638557.41</v>
      </c>
      <c r="P27" s="201">
        <f t="shared" si="1"/>
        <v>0.40543212864760259</v>
      </c>
      <c r="Q27" s="49" t="s">
        <v>36</v>
      </c>
    </row>
    <row r="28" spans="1:26">
      <c r="A28" s="147" t="s">
        <v>37</v>
      </c>
      <c r="B28" s="120">
        <v>127667.25</v>
      </c>
      <c r="C28" s="120">
        <v>155895.62</v>
      </c>
      <c r="D28" s="120">
        <v>138342.07</v>
      </c>
      <c r="E28" s="120">
        <v>98159.4</v>
      </c>
      <c r="F28" s="120">
        <v>187293.79</v>
      </c>
      <c r="G28" s="120">
        <v>137556</v>
      </c>
      <c r="H28" s="120">
        <v>156667.82999999999</v>
      </c>
      <c r="I28" s="120">
        <v>270456.11</v>
      </c>
      <c r="J28" s="120">
        <v>200283.66</v>
      </c>
      <c r="K28" s="120">
        <v>245329.33</v>
      </c>
      <c r="L28" s="120">
        <v>241034.97</v>
      </c>
      <c r="M28" s="120">
        <v>169618.87</v>
      </c>
      <c r="N28" s="203">
        <f t="shared" si="0"/>
        <v>2128304.9</v>
      </c>
      <c r="O28" s="19">
        <f>SUM('TRT 2011'!B28:M28)</f>
        <v>1773908.3599999999</v>
      </c>
      <c r="P28" s="201">
        <f t="shared" si="1"/>
        <v>0.19978289070129862</v>
      </c>
      <c r="Q28" s="49" t="s">
        <v>37</v>
      </c>
      <c r="Y28" s="223" t="s">
        <v>139</v>
      </c>
    </row>
    <row r="29" spans="1:26">
      <c r="A29" s="147" t="s">
        <v>38</v>
      </c>
      <c r="B29" s="120">
        <v>137693.67000000001</v>
      </c>
      <c r="C29" s="120">
        <v>130189.18</v>
      </c>
      <c r="D29" s="120">
        <v>143705.73000000001</v>
      </c>
      <c r="E29" s="120">
        <v>60146.15</v>
      </c>
      <c r="F29" s="120">
        <v>177886.58</v>
      </c>
      <c r="G29" s="120">
        <v>60944.800000000003</v>
      </c>
      <c r="H29" s="120">
        <v>68651.17</v>
      </c>
      <c r="I29" s="120">
        <v>105220.02</v>
      </c>
      <c r="J29" s="120">
        <v>77682.429999999993</v>
      </c>
      <c r="K29" s="120">
        <v>81218.8</v>
      </c>
      <c r="L29" s="120">
        <v>74334.720000000001</v>
      </c>
      <c r="M29" s="120">
        <v>37161.9</v>
      </c>
      <c r="N29" s="203">
        <f t="shared" si="0"/>
        <v>1154835.1499999999</v>
      </c>
      <c r="O29" s="19">
        <f>SUM('TRT 2011'!B29:M29)</f>
        <v>1089445.7500000002</v>
      </c>
      <c r="P29" s="201">
        <f t="shared" si="1"/>
        <v>6.0020794977629466E-2</v>
      </c>
      <c r="Q29" s="49" t="s">
        <v>38</v>
      </c>
      <c r="Y29" s="100">
        <f>SUM(H33:M33)</f>
        <v>19738517.260000002</v>
      </c>
      <c r="Z29" s="222" t="s">
        <v>140</v>
      </c>
    </row>
    <row r="30" spans="1:26">
      <c r="A30" s="147" t="s">
        <v>39</v>
      </c>
      <c r="B30" s="120">
        <v>196808.66</v>
      </c>
      <c r="C30" s="120">
        <v>193271.42</v>
      </c>
      <c r="D30" s="120">
        <v>146316.17000000001</v>
      </c>
      <c r="E30" s="120">
        <v>221605.1</v>
      </c>
      <c r="F30" s="120">
        <v>377608.63</v>
      </c>
      <c r="G30" s="120">
        <v>346300.67</v>
      </c>
      <c r="H30" s="120">
        <v>395004.83</v>
      </c>
      <c r="I30" s="120">
        <v>522522.82</v>
      </c>
      <c r="J30" s="120">
        <v>281888.75</v>
      </c>
      <c r="K30" s="120">
        <v>372790.13</v>
      </c>
      <c r="L30" s="120">
        <v>436692.18</v>
      </c>
      <c r="M30" s="120">
        <v>361475.9</v>
      </c>
      <c r="N30" s="203">
        <f t="shared" si="0"/>
        <v>3852285.26</v>
      </c>
      <c r="O30" s="19">
        <f>SUM('TRT 2011'!B30:M30)</f>
        <v>3450014.42</v>
      </c>
      <c r="P30" s="201">
        <f t="shared" si="1"/>
        <v>0.11659975612507734</v>
      </c>
      <c r="Q30" s="49" t="s">
        <v>97</v>
      </c>
      <c r="Y30" s="221">
        <v>19463924</v>
      </c>
      <c r="Z30" s="222" t="s">
        <v>136</v>
      </c>
    </row>
    <row r="31" spans="1:26">
      <c r="A31" s="147" t="s">
        <v>40</v>
      </c>
      <c r="B31" s="120">
        <v>7287.87</v>
      </c>
      <c r="C31" s="120">
        <v>9656.34</v>
      </c>
      <c r="D31" s="120">
        <v>1835.89</v>
      </c>
      <c r="E31" s="120">
        <v>3624.71</v>
      </c>
      <c r="F31" s="120">
        <v>10069.459999999999</v>
      </c>
      <c r="G31" s="120">
        <v>23881.17</v>
      </c>
      <c r="H31" s="120">
        <v>12477.47</v>
      </c>
      <c r="I31" s="120">
        <v>73531.98</v>
      </c>
      <c r="J31" s="120">
        <v>16171.63</v>
      </c>
      <c r="K31" s="120">
        <v>23011.759999999998</v>
      </c>
      <c r="L31" s="120">
        <v>44505.87</v>
      </c>
      <c r="M31" s="120">
        <v>10803.27</v>
      </c>
      <c r="N31" s="203">
        <f t="shared" si="0"/>
        <v>236857.41999999998</v>
      </c>
      <c r="O31" s="19">
        <f>SUM('TRT 2011'!B31:M31)</f>
        <v>212190.46000000002</v>
      </c>
      <c r="P31" s="201">
        <f t="shared" si="1"/>
        <v>0.11624914711057199</v>
      </c>
      <c r="Q31" s="49" t="s">
        <v>40</v>
      </c>
      <c r="Y31" s="100">
        <f>Y29-Y30</f>
        <v>274593.26000000164</v>
      </c>
      <c r="Z31" s="222" t="s">
        <v>137</v>
      </c>
    </row>
    <row r="32" spans="1:26" ht="13" thickBot="1">
      <c r="A32" s="53" t="s">
        <v>41</v>
      </c>
      <c r="B32" s="54">
        <v>96979.54</v>
      </c>
      <c r="C32" s="54">
        <v>47270.73</v>
      </c>
      <c r="D32" s="54">
        <v>0</v>
      </c>
      <c r="E32" s="54">
        <v>79207.33</v>
      </c>
      <c r="F32" s="54">
        <v>123202.96</v>
      </c>
      <c r="G32" s="54">
        <v>69139.67</v>
      </c>
      <c r="H32" s="54">
        <v>90403.71</v>
      </c>
      <c r="I32" s="54">
        <v>127859.68</v>
      </c>
      <c r="J32" s="54">
        <v>71449.25</v>
      </c>
      <c r="K32" s="54">
        <v>124860.95</v>
      </c>
      <c r="L32" s="54">
        <v>127336.73</v>
      </c>
      <c r="M32" s="54">
        <v>76561.09</v>
      </c>
      <c r="N32" s="206">
        <f t="shared" si="0"/>
        <v>1034271.6399999999</v>
      </c>
      <c r="O32" s="19">
        <f>SUM('TRT 2011'!B32:M32)</f>
        <v>1014708.6200000001</v>
      </c>
      <c r="P32" s="78">
        <f t="shared" si="1"/>
        <v>1.9279445955627805E-2</v>
      </c>
      <c r="Q32" s="53" t="s">
        <v>41</v>
      </c>
      <c r="Y32" s="224"/>
    </row>
    <row r="33" spans="1:16" ht="14" thickTop="1" thickBot="1">
      <c r="A33" s="125" t="s">
        <v>54</v>
      </c>
      <c r="B33" s="126">
        <f t="shared" ref="B33:O33" si="2">SUM(B4:B32)</f>
        <v>1889135.8200000003</v>
      </c>
      <c r="C33" s="127">
        <f t="shared" si="2"/>
        <v>2734414.29</v>
      </c>
      <c r="D33" s="127">
        <f t="shared" si="2"/>
        <v>2838549.12</v>
      </c>
      <c r="E33" s="127">
        <f t="shared" si="2"/>
        <v>2990990.7800000003</v>
      </c>
      <c r="F33" s="127">
        <f t="shared" si="2"/>
        <v>4216065.6900000004</v>
      </c>
      <c r="G33" s="127">
        <f t="shared" si="2"/>
        <v>2702359.6999999997</v>
      </c>
      <c r="H33" s="127">
        <f t="shared" si="2"/>
        <v>2822143.1200000006</v>
      </c>
      <c r="I33" s="127">
        <f t="shared" si="2"/>
        <v>4091058.8799999994</v>
      </c>
      <c r="J33" s="127">
        <f t="shared" si="2"/>
        <v>2912628.0800000005</v>
      </c>
      <c r="K33" s="127">
        <f t="shared" si="2"/>
        <v>3574140.7199999997</v>
      </c>
      <c r="L33" s="127">
        <f t="shared" si="2"/>
        <v>3719082.6900000004</v>
      </c>
      <c r="M33" s="128">
        <f t="shared" si="2"/>
        <v>2619463.7699999996</v>
      </c>
      <c r="N33" s="207">
        <f t="shared" si="2"/>
        <v>37110032.659999996</v>
      </c>
      <c r="O33" s="127">
        <f t="shared" si="2"/>
        <v>33578385.690000005</v>
      </c>
      <c r="P33" s="113">
        <f t="shared" si="1"/>
        <v>0.10517619883828289</v>
      </c>
    </row>
    <row r="34" spans="1:16">
      <c r="B34" s="28">
        <f>B33/'TRT 2011'!B33-1</f>
        <v>0.14618841877286703</v>
      </c>
      <c r="C34" s="28">
        <f>C33/'TRT 2011'!C33-1</f>
        <v>0.19958897358528893</v>
      </c>
      <c r="D34" s="28">
        <f>D33/'TRT 2011'!D33-1</f>
        <v>1.7033815970139754E-2</v>
      </c>
      <c r="E34" s="28">
        <f>E33/'TRT 2011'!E33-1</f>
        <v>4.1122806825058422E-2</v>
      </c>
      <c r="F34" s="28">
        <f>F33/'TRT 2011'!F33-1</f>
        <v>0.10797507454432664</v>
      </c>
      <c r="G34" s="28">
        <f>G33/'TRT 2011'!G33-1</f>
        <v>-4.2552443312114163E-2</v>
      </c>
      <c r="H34" s="28">
        <f>H33/'TRT 2011'!H33-1</f>
        <v>0.28714605198826693</v>
      </c>
      <c r="I34" s="28">
        <f>I33/'TRT 2011'!I33-1</f>
        <v>0.25956121047330361</v>
      </c>
      <c r="J34" s="28">
        <f>J33/'TRT 2011'!J33-1</f>
        <v>6.2242309752188474E-2</v>
      </c>
      <c r="K34" s="28">
        <f>K33/'TRT 2011'!K33-1</f>
        <v>8.1290883056735819E-2</v>
      </c>
      <c r="L34" s="28">
        <f>L33/'TRT 2011'!L33-1</f>
        <v>0.10289974067426821</v>
      </c>
      <c r="M34" s="28">
        <f>M33/'TRT 2011'!M33-1</f>
        <v>4.8138042941914927E-2</v>
      </c>
      <c r="N34" s="28"/>
    </row>
    <row r="35" spans="1:16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116"/>
    </row>
    <row r="36" spans="1:16" ht="21">
      <c r="A36" s="691" t="s">
        <v>129</v>
      </c>
      <c r="B36" s="691"/>
      <c r="C36" s="691"/>
      <c r="D36" s="691"/>
      <c r="E36" s="691"/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</row>
    <row r="37" spans="1:16" ht="13" thickBot="1"/>
    <row r="38" spans="1:16" ht="13" thickBot="1">
      <c r="A38" s="129" t="s">
        <v>42</v>
      </c>
      <c r="B38" s="130" t="s">
        <v>2</v>
      </c>
      <c r="C38" s="131" t="s">
        <v>3</v>
      </c>
      <c r="D38" s="131" t="s">
        <v>4</v>
      </c>
      <c r="E38" s="131" t="s">
        <v>5</v>
      </c>
      <c r="F38" s="131" t="s">
        <v>6</v>
      </c>
      <c r="G38" s="131" t="s">
        <v>7</v>
      </c>
      <c r="H38" s="131" t="s">
        <v>8</v>
      </c>
      <c r="I38" s="131" t="s">
        <v>9</v>
      </c>
      <c r="J38" s="131" t="s">
        <v>10</v>
      </c>
      <c r="K38" s="131" t="s">
        <v>11</v>
      </c>
      <c r="L38" s="131" t="s">
        <v>12</v>
      </c>
      <c r="M38" s="132" t="s">
        <v>13</v>
      </c>
      <c r="N38" s="52" t="s">
        <v>119</v>
      </c>
      <c r="O38" s="131" t="s">
        <v>112</v>
      </c>
      <c r="P38" s="135" t="s">
        <v>16</v>
      </c>
    </row>
    <row r="39" spans="1:16" ht="13" thickBot="1">
      <c r="A39" s="40" t="s">
        <v>31</v>
      </c>
      <c r="B39" s="41">
        <v>101024.25</v>
      </c>
      <c r="C39" s="42">
        <v>126886.78</v>
      </c>
      <c r="D39" s="42">
        <v>147504.35999999999</v>
      </c>
      <c r="E39" s="42">
        <v>158083.91</v>
      </c>
      <c r="F39" s="42">
        <v>199581.21</v>
      </c>
      <c r="G39" s="42">
        <v>132304.10999999999</v>
      </c>
      <c r="H39" s="42">
        <v>137517.76000000001</v>
      </c>
      <c r="I39" s="42">
        <v>160666.46</v>
      </c>
      <c r="J39" s="42">
        <v>130981.75</v>
      </c>
      <c r="K39" s="42">
        <v>156765.62</v>
      </c>
      <c r="L39" s="42">
        <v>153499.54999999999</v>
      </c>
      <c r="M39" s="43">
        <v>136465.44</v>
      </c>
      <c r="N39" s="46">
        <f>SUM(B39:M39)</f>
        <v>1741281.2</v>
      </c>
      <c r="O39" s="187">
        <f>SUM('TRT 2011'!B39:M39)</f>
        <v>1638900.72</v>
      </c>
      <c r="P39" s="115">
        <f>N39/O39-1</f>
        <v>6.2468994461116534E-2</v>
      </c>
    </row>
    <row r="40" spans="1:16">
      <c r="B40" s="28">
        <f>B39/'TRT 2011'!B39-1</f>
        <v>7.7229706105242713E-2</v>
      </c>
      <c r="C40" s="28">
        <f>C39/'TRT 2011'!C39-1</f>
        <v>0.17908583728555638</v>
      </c>
      <c r="D40" s="28">
        <f>D39/'TRT 2011'!D39-1</f>
        <v>-5.4849759179407265E-3</v>
      </c>
      <c r="E40" s="28">
        <f>E39/'TRT 2011'!E39-1</f>
        <v>3.5279308606653181E-2</v>
      </c>
      <c r="F40" s="28">
        <f>F39/'TRT 2011'!F39-1</f>
        <v>0.33421351137356958</v>
      </c>
      <c r="G40" s="28">
        <f>G39/'TRT 2011'!G39-1</f>
        <v>-9.458516318270993E-3</v>
      </c>
      <c r="H40" s="28">
        <f>H39/'TRT 2011'!H39-1</f>
        <v>4.1845806278829389E-2</v>
      </c>
      <c r="I40" s="28">
        <f>I39/'TRT 2011'!I39-1</f>
        <v>8.0761873524194838E-2</v>
      </c>
      <c r="J40" s="28">
        <f>J39/'TRT 2011'!J39-1</f>
        <v>-3.4684705101149182E-2</v>
      </c>
      <c r="K40" s="28">
        <f>K39/'TRT 2011'!K39-1</f>
        <v>-7.4067458819746523E-2</v>
      </c>
      <c r="L40" s="28">
        <f>L39/'TRT 2011'!L39-1</f>
        <v>0.20188068648807311</v>
      </c>
      <c r="M40" s="28">
        <f>M39/'TRT 2011'!M39-1</f>
        <v>-2.5042951840213434E-2</v>
      </c>
      <c r="N40" s="28"/>
    </row>
    <row r="41" spans="1:16">
      <c r="N41" s="100"/>
    </row>
    <row r="42" spans="1:16">
      <c r="A42" s="188"/>
      <c r="M42" s="186"/>
      <c r="N42" s="100"/>
    </row>
    <row r="43" spans="1:16">
      <c r="H43" s="100"/>
      <c r="I43" s="100"/>
      <c r="J43" s="100"/>
    </row>
    <row r="44" spans="1:16">
      <c r="H44" s="100"/>
    </row>
    <row r="45" spans="1:16">
      <c r="G45" s="116"/>
      <c r="H45" s="100"/>
      <c r="I45" s="100"/>
    </row>
    <row r="46" spans="1:16">
      <c r="A46" s="208"/>
      <c r="B46" s="208"/>
      <c r="C46" s="208"/>
      <c r="D46" s="208"/>
      <c r="E46" s="208"/>
      <c r="F46" s="208"/>
      <c r="G46" s="209"/>
      <c r="H46" s="217" t="s">
        <v>0</v>
      </c>
      <c r="I46" s="208"/>
      <c r="J46" s="208"/>
      <c r="K46" s="208"/>
      <c r="L46" s="208"/>
      <c r="M46" s="208"/>
      <c r="N46" s="208"/>
    </row>
    <row r="47" spans="1:16">
      <c r="A47" s="210" t="s">
        <v>122</v>
      </c>
      <c r="B47" s="190">
        <v>47704.9</v>
      </c>
      <c r="C47" s="190">
        <v>46703.14</v>
      </c>
      <c r="D47" s="190">
        <v>20213.009999999998</v>
      </c>
      <c r="E47" s="190">
        <v>43639.09</v>
      </c>
      <c r="F47" s="190">
        <v>157429.19</v>
      </c>
      <c r="G47" s="190">
        <v>172694.94</v>
      </c>
      <c r="H47" s="215">
        <f>SUM(B47:G47)</f>
        <v>488384.27</v>
      </c>
      <c r="I47" s="190"/>
      <c r="J47" s="190"/>
      <c r="K47" s="190"/>
      <c r="L47" s="190"/>
      <c r="M47" s="190"/>
    </row>
    <row r="48" spans="1:16">
      <c r="A48" s="210" t="s">
        <v>123</v>
      </c>
      <c r="B48" s="211">
        <v>19617</v>
      </c>
      <c r="C48" s="211">
        <v>23119</v>
      </c>
      <c r="D48" s="211">
        <v>113867</v>
      </c>
      <c r="E48" s="211">
        <v>197642</v>
      </c>
      <c r="F48" s="211">
        <v>243551</v>
      </c>
      <c r="G48" s="211">
        <v>211771</v>
      </c>
      <c r="H48" s="216">
        <f>SUM(B48:G48)</f>
        <v>809567</v>
      </c>
      <c r="I48" s="190"/>
      <c r="J48" s="190"/>
      <c r="K48" s="190"/>
      <c r="L48" s="190"/>
      <c r="M48" s="190"/>
    </row>
    <row r="49" spans="1:16">
      <c r="A49" s="212"/>
      <c r="B49" s="213">
        <f>B47-B48</f>
        <v>28087.9</v>
      </c>
      <c r="C49" s="213">
        <f t="shared" ref="C49:H49" si="3">C47-C48</f>
        <v>23584.14</v>
      </c>
      <c r="D49" s="213">
        <f t="shared" si="3"/>
        <v>-93653.99</v>
      </c>
      <c r="E49" s="213">
        <f t="shared" si="3"/>
        <v>-154002.91</v>
      </c>
      <c r="F49" s="213">
        <f t="shared" si="3"/>
        <v>-86121.81</v>
      </c>
      <c r="G49" s="213">
        <f t="shared" si="3"/>
        <v>-39076.06</v>
      </c>
      <c r="H49" s="213">
        <f t="shared" si="3"/>
        <v>-321182.73</v>
      </c>
      <c r="I49" s="214">
        <f>H47/H48-1</f>
        <v>-0.39673397013465217</v>
      </c>
      <c r="J49" s="212"/>
      <c r="K49" s="212"/>
      <c r="L49" s="212"/>
      <c r="M49" s="212"/>
      <c r="N49" s="212"/>
    </row>
    <row r="50" spans="1:16">
      <c r="G50" s="186"/>
    </row>
    <row r="51" spans="1:16">
      <c r="G51" s="193"/>
    </row>
    <row r="52" spans="1:16">
      <c r="G52" s="194"/>
    </row>
    <row r="64" spans="1:16" ht="13" thickBot="1">
      <c r="P64" s="113"/>
    </row>
  </sheetData>
  <mergeCells count="2">
    <mergeCell ref="A1:P1"/>
    <mergeCell ref="A36:P36"/>
  </mergeCells>
  <printOptions horizontalCentered="1"/>
  <pageMargins left="0" right="0" top="0.5" bottom="0.5" header="0.5" footer="0.5"/>
  <pageSetup scale="86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 enableFormatConditionsCalculation="0">
    <tabColor rgb="FF0070C0"/>
    <pageSetUpPr fitToPage="1"/>
  </sheetPr>
  <dimension ref="A1:U52"/>
  <sheetViews>
    <sheetView workbookViewId="0">
      <selection activeCell="B30" sqref="B30:M30"/>
    </sheetView>
  </sheetViews>
  <sheetFormatPr baseColWidth="10" defaultColWidth="8.83203125" defaultRowHeight="12" x14ac:dyDescent="0"/>
  <cols>
    <col min="1" max="1" width="11.33203125" bestFit="1" customWidth="1"/>
    <col min="2" max="6" width="9.6640625" customWidth="1"/>
    <col min="7" max="7" width="12" customWidth="1"/>
    <col min="8" max="8" width="10.6640625" customWidth="1"/>
    <col min="9" max="13" width="9.6640625" customWidth="1"/>
    <col min="14" max="14" width="11.1640625" bestFit="1" customWidth="1"/>
    <col min="15" max="15" width="9.5" bestFit="1" customWidth="1"/>
    <col min="16" max="16" width="10.1640625" bestFit="1" customWidth="1"/>
    <col min="21" max="21" width="11.1640625" bestFit="1" customWidth="1"/>
  </cols>
  <sheetData>
    <row r="1" spans="1:17" ht="21">
      <c r="A1" s="691" t="s">
        <v>113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17" ht="13" thickBot="1"/>
    <row r="3" spans="1:17" ht="13" thickBot="1">
      <c r="A3" s="129" t="s">
        <v>42</v>
      </c>
      <c r="B3" s="130" t="s">
        <v>2</v>
      </c>
      <c r="C3" s="131" t="s">
        <v>3</v>
      </c>
      <c r="D3" s="131" t="s">
        <v>4</v>
      </c>
      <c r="E3" s="131" t="s">
        <v>5</v>
      </c>
      <c r="F3" s="131" t="s">
        <v>6</v>
      </c>
      <c r="G3" s="131" t="s">
        <v>7</v>
      </c>
      <c r="H3" s="131" t="s">
        <v>8</v>
      </c>
      <c r="I3" s="131" t="s">
        <v>9</v>
      </c>
      <c r="J3" s="131" t="s">
        <v>10</v>
      </c>
      <c r="K3" s="131" t="s">
        <v>11</v>
      </c>
      <c r="L3" s="131" t="s">
        <v>12</v>
      </c>
      <c r="M3" s="132" t="s">
        <v>13</v>
      </c>
      <c r="N3" s="52" t="s">
        <v>112</v>
      </c>
      <c r="O3" s="131" t="s">
        <v>107</v>
      </c>
      <c r="P3" s="131" t="s">
        <v>16</v>
      </c>
      <c r="Q3" s="143"/>
    </row>
    <row r="4" spans="1:17">
      <c r="A4" s="49" t="s">
        <v>17</v>
      </c>
      <c r="B4" s="50">
        <v>8412.17</v>
      </c>
      <c r="C4" s="19">
        <v>23975.96</v>
      </c>
      <c r="D4" s="19">
        <v>6670.41</v>
      </c>
      <c r="E4" s="19">
        <v>5681.15</v>
      </c>
      <c r="F4" s="19">
        <v>18088.09</v>
      </c>
      <c r="G4" s="19">
        <v>16143.58</v>
      </c>
      <c r="H4" s="19">
        <v>9105.0300000000007</v>
      </c>
      <c r="I4" s="19">
        <v>39535.620000000003</v>
      </c>
      <c r="J4" s="19">
        <v>10272.42</v>
      </c>
      <c r="K4" s="19">
        <v>16998.57</v>
      </c>
      <c r="L4" s="19">
        <v>32641.83</v>
      </c>
      <c r="M4" s="51">
        <v>12214.15</v>
      </c>
      <c r="N4" s="106">
        <f t="shared" ref="N4:N32" si="0">SUM(B4:M4)</f>
        <v>199738.98</v>
      </c>
      <c r="O4" s="19">
        <f>SUM('TRT 2010'!B4:M4)</f>
        <v>178841.44999999998</v>
      </c>
      <c r="P4" s="77">
        <f t="shared" ref="P4:P33" si="1">N4/O4-1</f>
        <v>0.11684947756798003</v>
      </c>
      <c r="Q4" s="49" t="s">
        <v>17</v>
      </c>
    </row>
    <row r="5" spans="1:17">
      <c r="A5" s="49" t="s">
        <v>18</v>
      </c>
      <c r="B5" s="50">
        <v>11425.54</v>
      </c>
      <c r="C5" s="19">
        <v>16735.34</v>
      </c>
      <c r="D5" s="19">
        <v>12440.42</v>
      </c>
      <c r="E5" s="19">
        <v>10978.8</v>
      </c>
      <c r="F5" s="19">
        <v>14381.28</v>
      </c>
      <c r="G5" s="19">
        <v>18347.419999999998</v>
      </c>
      <c r="H5" s="19">
        <v>13934.45</v>
      </c>
      <c r="I5" s="19">
        <v>28849.22</v>
      </c>
      <c r="J5" s="19">
        <v>14095.49</v>
      </c>
      <c r="K5" s="19">
        <v>25470.21</v>
      </c>
      <c r="L5" s="19">
        <v>31107.7</v>
      </c>
      <c r="M5" s="51">
        <v>11878.8</v>
      </c>
      <c r="N5" s="60">
        <f t="shared" si="0"/>
        <v>209644.66999999998</v>
      </c>
      <c r="O5" s="19">
        <f>SUM('TRT 2010'!B5:M5)</f>
        <v>211874.57000000004</v>
      </c>
      <c r="P5" s="77">
        <f t="shared" si="1"/>
        <v>-1.0524623129618882E-2</v>
      </c>
      <c r="Q5" s="49" t="s">
        <v>18</v>
      </c>
    </row>
    <row r="6" spans="1:17">
      <c r="A6" s="49" t="s">
        <v>19</v>
      </c>
      <c r="B6" s="50">
        <v>18163.310000000001</v>
      </c>
      <c r="C6" s="19">
        <v>17619.11</v>
      </c>
      <c r="D6" s="19">
        <v>24775.68</v>
      </c>
      <c r="E6" s="19">
        <v>22649.91</v>
      </c>
      <c r="F6" s="19">
        <v>22137.09</v>
      </c>
      <c r="G6" s="19">
        <v>29353.87</v>
      </c>
      <c r="H6" s="19">
        <v>25299.73</v>
      </c>
      <c r="I6" s="19">
        <v>46310.64</v>
      </c>
      <c r="J6" s="19">
        <v>43867.199999999997</v>
      </c>
      <c r="K6" s="19">
        <v>38469.230000000003</v>
      </c>
      <c r="L6" s="19">
        <v>44676.61</v>
      </c>
      <c r="M6" s="51">
        <v>25837.26</v>
      </c>
      <c r="N6" s="60">
        <f t="shared" si="0"/>
        <v>359159.64</v>
      </c>
      <c r="O6" s="19">
        <f>SUM('TRT 2010'!B6:M6)</f>
        <v>347696.09</v>
      </c>
      <c r="P6" s="77">
        <f t="shared" si="1"/>
        <v>3.2970028509667682E-2</v>
      </c>
      <c r="Q6" s="49" t="s">
        <v>19</v>
      </c>
    </row>
    <row r="7" spans="1:17">
      <c r="A7" s="147" t="s">
        <v>20</v>
      </c>
      <c r="B7" s="50">
        <v>22176.47</v>
      </c>
      <c r="C7" s="19">
        <v>15832.52</v>
      </c>
      <c r="D7" s="19">
        <v>23998.23</v>
      </c>
      <c r="E7" s="19">
        <v>8728.25</v>
      </c>
      <c r="F7" s="19">
        <v>29859.14</v>
      </c>
      <c r="G7" s="19">
        <v>24058.05</v>
      </c>
      <c r="H7" s="19">
        <v>21722.7</v>
      </c>
      <c r="I7" s="19">
        <v>30806.1</v>
      </c>
      <c r="J7" s="111">
        <v>35074.959999999999</v>
      </c>
      <c r="K7" s="111">
        <v>12882.81</v>
      </c>
      <c r="L7" s="111">
        <v>30878.99</v>
      </c>
      <c r="M7" s="119">
        <v>32213.95</v>
      </c>
      <c r="N7" s="60">
        <f t="shared" si="0"/>
        <v>288232.17</v>
      </c>
      <c r="O7" s="19">
        <f>SUM('TRT 2010'!B7:M7)</f>
        <v>222074.59999999998</v>
      </c>
      <c r="P7" s="77">
        <f t="shared" si="1"/>
        <v>0.2979069645965815</v>
      </c>
      <c r="Q7" s="49" t="s">
        <v>20</v>
      </c>
    </row>
    <row r="8" spans="1:17">
      <c r="A8" s="147" t="s">
        <v>21</v>
      </c>
      <c r="B8" s="50">
        <v>1390.3</v>
      </c>
      <c r="C8" s="19">
        <v>2226.4299999999998</v>
      </c>
      <c r="D8" s="19">
        <v>1587.22</v>
      </c>
      <c r="E8" s="19">
        <v>1169.81</v>
      </c>
      <c r="F8" s="19">
        <v>2128.63</v>
      </c>
      <c r="G8" s="19">
        <v>5045.6899999999996</v>
      </c>
      <c r="H8" s="19">
        <v>3204.71</v>
      </c>
      <c r="I8" s="19">
        <v>13693.22</v>
      </c>
      <c r="J8" s="111">
        <v>5935.26</v>
      </c>
      <c r="K8" s="111">
        <v>10719.93</v>
      </c>
      <c r="L8" s="111">
        <v>11563.89</v>
      </c>
      <c r="M8" s="119">
        <v>3415.64</v>
      </c>
      <c r="N8" s="60">
        <f t="shared" si="0"/>
        <v>62080.729999999996</v>
      </c>
      <c r="O8" s="19">
        <f>SUM('TRT 2010'!B8:M8)</f>
        <v>76726.05</v>
      </c>
      <c r="P8" s="77">
        <f t="shared" si="1"/>
        <v>-0.19087806553315345</v>
      </c>
      <c r="Q8" s="49" t="s">
        <v>21</v>
      </c>
    </row>
    <row r="9" spans="1:17">
      <c r="A9" s="147" t="s">
        <v>22</v>
      </c>
      <c r="B9" s="111">
        <v>60021.53</v>
      </c>
      <c r="C9" s="111">
        <v>57700</v>
      </c>
      <c r="D9" s="111">
        <v>70861</v>
      </c>
      <c r="E9" s="111">
        <v>72822</v>
      </c>
      <c r="F9" s="111">
        <v>90915</v>
      </c>
      <c r="G9" s="111">
        <v>121086</v>
      </c>
      <c r="H9" s="111">
        <v>0</v>
      </c>
      <c r="I9" s="111">
        <v>21725.09</v>
      </c>
      <c r="J9" s="111">
        <v>89199.43</v>
      </c>
      <c r="K9" s="111">
        <v>146484.97</v>
      </c>
      <c r="L9" s="111">
        <v>78529.17</v>
      </c>
      <c r="M9" s="119">
        <v>85092.94</v>
      </c>
      <c r="N9" s="60">
        <f t="shared" si="0"/>
        <v>894437.13000000012</v>
      </c>
      <c r="O9" s="19">
        <f>SUM('TRT 2010'!B9:M9)</f>
        <v>950852.46</v>
      </c>
      <c r="P9" s="77">
        <f t="shared" si="1"/>
        <v>-5.9331318341438455E-2</v>
      </c>
      <c r="Q9" s="49" t="s">
        <v>22</v>
      </c>
    </row>
    <row r="10" spans="1:17">
      <c r="A10" s="147" t="s">
        <v>23</v>
      </c>
      <c r="B10" s="50">
        <v>4939</v>
      </c>
      <c r="C10" s="111">
        <v>2359</v>
      </c>
      <c r="D10" s="111">
        <v>3690</v>
      </c>
      <c r="E10" s="111">
        <v>2716</v>
      </c>
      <c r="F10" s="111">
        <v>3878</v>
      </c>
      <c r="G10" s="111">
        <v>9632</v>
      </c>
      <c r="H10" s="111">
        <v>0</v>
      </c>
      <c r="I10" s="111">
        <v>347</v>
      </c>
      <c r="J10" s="111">
        <v>3310.59</v>
      </c>
      <c r="K10" s="111">
        <v>7581.07</v>
      </c>
      <c r="L10" s="111">
        <v>19857.12</v>
      </c>
      <c r="M10" s="111">
        <v>7398.32</v>
      </c>
      <c r="N10" s="60">
        <f t="shared" si="0"/>
        <v>65708.100000000006</v>
      </c>
      <c r="O10" s="19">
        <f>SUM('TRT 2010'!B10:M10)</f>
        <v>69381</v>
      </c>
      <c r="P10" s="77">
        <f t="shared" si="1"/>
        <v>-5.2938124270333287E-2</v>
      </c>
      <c r="Q10" s="49" t="s">
        <v>23</v>
      </c>
    </row>
    <row r="11" spans="1:17">
      <c r="A11" s="147" t="s">
        <v>51</v>
      </c>
      <c r="B11" s="111">
        <v>16211</v>
      </c>
      <c r="C11" s="111">
        <v>8742</v>
      </c>
      <c r="D11" s="111">
        <v>5679</v>
      </c>
      <c r="E11" s="111">
        <v>15550</v>
      </c>
      <c r="F11" s="111">
        <v>21481</v>
      </c>
      <c r="G11" s="111">
        <v>63263</v>
      </c>
      <c r="H11" s="111">
        <v>0</v>
      </c>
      <c r="I11" s="111">
        <v>8190.78</v>
      </c>
      <c r="J11" s="111">
        <v>26691.22</v>
      </c>
      <c r="K11" s="111">
        <v>31808.880000000001</v>
      </c>
      <c r="L11" s="111">
        <v>44930.879999999997</v>
      </c>
      <c r="M11" s="119">
        <v>21234.97</v>
      </c>
      <c r="N11" s="60">
        <f t="shared" si="0"/>
        <v>263782.73</v>
      </c>
      <c r="O11" s="19">
        <f>SUM('TRT 2010'!B11:M11)</f>
        <v>326178</v>
      </c>
      <c r="P11" s="77">
        <f t="shared" si="1"/>
        <v>-0.19129208591627889</v>
      </c>
      <c r="Q11" s="49" t="s">
        <v>51</v>
      </c>
    </row>
    <row r="12" spans="1:17">
      <c r="A12" s="147" t="s">
        <v>24</v>
      </c>
      <c r="B12" s="111">
        <v>43102</v>
      </c>
      <c r="C12" s="111">
        <v>16841</v>
      </c>
      <c r="D12" s="111">
        <v>10793</v>
      </c>
      <c r="E12" s="190">
        <v>11277</v>
      </c>
      <c r="F12" s="111">
        <v>39156</v>
      </c>
      <c r="G12" s="111">
        <v>89605</v>
      </c>
      <c r="H12" s="111">
        <v>167116</v>
      </c>
      <c r="I12" s="111">
        <v>138951</v>
      </c>
      <c r="J12" s="111">
        <v>141073.5</v>
      </c>
      <c r="K12" s="111">
        <v>157798.68</v>
      </c>
      <c r="L12" s="111">
        <v>216251.27</v>
      </c>
      <c r="M12" s="119">
        <v>120763.31</v>
      </c>
      <c r="N12" s="60">
        <f t="shared" si="0"/>
        <v>1152727.76</v>
      </c>
      <c r="O12" s="19">
        <f>SUM('TRT 2010'!B12:M12)</f>
        <v>1152762</v>
      </c>
      <c r="P12" s="77">
        <f t="shared" si="1"/>
        <v>-2.9702575206291826E-5</v>
      </c>
      <c r="Q12" s="49" t="s">
        <v>24</v>
      </c>
    </row>
    <row r="13" spans="1:17">
      <c r="A13" s="147" t="s">
        <v>25</v>
      </c>
      <c r="B13" s="111">
        <v>19617</v>
      </c>
      <c r="C13" s="111">
        <v>23119</v>
      </c>
      <c r="D13" s="111">
        <v>113867</v>
      </c>
      <c r="E13" s="111">
        <v>197642</v>
      </c>
      <c r="F13" s="146">
        <v>243551</v>
      </c>
      <c r="G13" s="111">
        <v>211771</v>
      </c>
      <c r="H13" s="111">
        <v>0</v>
      </c>
      <c r="I13" s="111">
        <v>39266.92</v>
      </c>
      <c r="J13" s="111">
        <v>164438.26</v>
      </c>
      <c r="K13" s="111">
        <v>187579.47</v>
      </c>
      <c r="L13" s="111">
        <v>270395.3</v>
      </c>
      <c r="M13" s="119">
        <v>120115.44</v>
      </c>
      <c r="N13" s="60">
        <f t="shared" si="0"/>
        <v>1591362.3900000001</v>
      </c>
      <c r="O13" s="19">
        <f>SUM('TRT 2010'!B13:M13)</f>
        <v>1581175</v>
      </c>
      <c r="P13" s="77">
        <f t="shared" si="1"/>
        <v>6.4429237750407431E-3</v>
      </c>
      <c r="Q13" s="49" t="s">
        <v>25</v>
      </c>
    </row>
    <row r="14" spans="1:17">
      <c r="A14" s="147" t="s">
        <v>26</v>
      </c>
      <c r="B14" s="50">
        <v>35248.519999999997</v>
      </c>
      <c r="C14" s="19">
        <v>64300.58</v>
      </c>
      <c r="D14" s="19">
        <v>37559.61</v>
      </c>
      <c r="E14" s="19">
        <v>43321.38</v>
      </c>
      <c r="F14" s="19">
        <v>71249.929999999993</v>
      </c>
      <c r="G14" s="19">
        <v>52839.4</v>
      </c>
      <c r="H14" s="19">
        <v>52283.360000000001</v>
      </c>
      <c r="I14" s="19">
        <v>156706.54999999999</v>
      </c>
      <c r="J14" s="111">
        <v>86340.12</v>
      </c>
      <c r="K14" s="111">
        <v>82525.490000000005</v>
      </c>
      <c r="L14" s="111">
        <v>112796.96</v>
      </c>
      <c r="M14" s="119">
        <v>48536.32</v>
      </c>
      <c r="N14" s="60">
        <f t="shared" si="0"/>
        <v>843708.21999999986</v>
      </c>
      <c r="O14" s="19">
        <f>SUM('TRT 2010'!B14:M14)</f>
        <v>839377.44000000018</v>
      </c>
      <c r="P14" s="77">
        <f t="shared" si="1"/>
        <v>5.1595144134439774E-3</v>
      </c>
      <c r="Q14" s="49" t="s">
        <v>26</v>
      </c>
    </row>
    <row r="15" spans="1:17">
      <c r="A15" s="147" t="s">
        <v>27</v>
      </c>
      <c r="B15" s="120">
        <v>1790.69</v>
      </c>
      <c r="C15" s="19">
        <v>10930.2</v>
      </c>
      <c r="D15" s="111">
        <v>1757.94</v>
      </c>
      <c r="E15" s="19">
        <v>1479.99</v>
      </c>
      <c r="F15" s="19">
        <v>7145.76</v>
      </c>
      <c r="G15" s="19">
        <v>2471.54</v>
      </c>
      <c r="H15" s="19">
        <v>2115.8200000000002</v>
      </c>
      <c r="I15" s="19">
        <v>9109.48</v>
      </c>
      <c r="J15" s="111">
        <v>2482.5500000000002</v>
      </c>
      <c r="K15" s="111">
        <v>1817.95</v>
      </c>
      <c r="L15" s="111">
        <v>14968.69</v>
      </c>
      <c r="M15" s="119">
        <v>12973.07</v>
      </c>
      <c r="N15" s="60">
        <f t="shared" si="0"/>
        <v>69043.679999999993</v>
      </c>
      <c r="O15" s="19">
        <f>SUM('TRT 2010'!B15:M15)</f>
        <v>61298.01</v>
      </c>
      <c r="P15" s="77">
        <f t="shared" si="1"/>
        <v>0.12636087207398727</v>
      </c>
      <c r="Q15" s="49" t="s">
        <v>27</v>
      </c>
    </row>
    <row r="16" spans="1:17">
      <c r="A16" s="147" t="s">
        <v>28</v>
      </c>
      <c r="B16" s="50">
        <v>25598.42</v>
      </c>
      <c r="C16" s="19">
        <v>39060.160000000003</v>
      </c>
      <c r="D16" s="19">
        <v>35100.019999999997</v>
      </c>
      <c r="E16" s="19">
        <v>24673.26</v>
      </c>
      <c r="F16" s="19">
        <v>63100.68</v>
      </c>
      <c r="G16" s="19">
        <v>90311.42</v>
      </c>
      <c r="H16" s="19">
        <v>106707.08</v>
      </c>
      <c r="I16" s="19">
        <v>210629.88</v>
      </c>
      <c r="J16" s="111">
        <v>139750.54999999999</v>
      </c>
      <c r="K16" s="111">
        <v>120200.43</v>
      </c>
      <c r="L16" s="111">
        <v>168689.29</v>
      </c>
      <c r="M16" s="119">
        <v>76765.539999999994</v>
      </c>
      <c r="N16" s="60">
        <f t="shared" si="0"/>
        <v>1100586.73</v>
      </c>
      <c r="O16" s="19">
        <f>SUM('TRT 2010'!B16:M16)</f>
        <v>1050037.55</v>
      </c>
      <c r="P16" s="77">
        <f t="shared" si="1"/>
        <v>4.8140354599699675E-2</v>
      </c>
      <c r="Q16" s="49" t="s">
        <v>28</v>
      </c>
    </row>
    <row r="17" spans="1:21">
      <c r="A17" s="147" t="s">
        <v>52</v>
      </c>
      <c r="B17" s="50">
        <v>9531.6</v>
      </c>
      <c r="C17" s="19">
        <v>8682.49</v>
      </c>
      <c r="D17" s="19">
        <v>3531.11</v>
      </c>
      <c r="E17" s="19">
        <v>5604.11</v>
      </c>
      <c r="F17" s="19">
        <v>9701.7000000000007</v>
      </c>
      <c r="G17" s="19">
        <v>8863.4599999999991</v>
      </c>
      <c r="H17" s="19">
        <v>8070.44</v>
      </c>
      <c r="I17" s="19">
        <v>19432.66</v>
      </c>
      <c r="J17" s="111">
        <v>6951.88</v>
      </c>
      <c r="K17" s="111">
        <v>10426.549999999999</v>
      </c>
      <c r="L17" s="111">
        <v>17055.060000000001</v>
      </c>
      <c r="M17" s="119">
        <v>9152.51</v>
      </c>
      <c r="N17" s="60">
        <f t="shared" si="0"/>
        <v>117003.57</v>
      </c>
      <c r="O17" s="19">
        <f>SUM('TRT 2010'!B17:M17)</f>
        <v>105568.98000000001</v>
      </c>
      <c r="P17" s="77">
        <f t="shared" si="1"/>
        <v>0.10831391948657632</v>
      </c>
      <c r="Q17" s="49" t="s">
        <v>52</v>
      </c>
    </row>
    <row r="18" spans="1:21">
      <c r="A18" s="147" t="s">
        <v>29</v>
      </c>
      <c r="B18" s="50">
        <v>693.95</v>
      </c>
      <c r="C18" s="19">
        <v>62.28</v>
      </c>
      <c r="D18" s="19">
        <v>81.63</v>
      </c>
      <c r="E18" s="19">
        <v>34.78</v>
      </c>
      <c r="F18" s="19">
        <v>132.62</v>
      </c>
      <c r="G18" s="19">
        <v>302.73</v>
      </c>
      <c r="H18" s="19">
        <v>0</v>
      </c>
      <c r="I18" s="19">
        <v>1030.02</v>
      </c>
      <c r="J18" s="19">
        <v>0</v>
      </c>
      <c r="K18" s="19">
        <v>2164.9499999999998</v>
      </c>
      <c r="L18" s="111">
        <v>288.32</v>
      </c>
      <c r="M18" s="119">
        <v>76.069999999999993</v>
      </c>
      <c r="N18" s="60">
        <f t="shared" si="0"/>
        <v>4867.3499999999995</v>
      </c>
      <c r="O18" s="19">
        <f>SUM('TRT 2010'!B18:M18)</f>
        <v>6293.06</v>
      </c>
      <c r="P18" s="77">
        <f t="shared" si="1"/>
        <v>-0.22655274222715194</v>
      </c>
      <c r="Q18" s="49" t="s">
        <v>29</v>
      </c>
    </row>
    <row r="19" spans="1:21">
      <c r="A19" s="147" t="s">
        <v>53</v>
      </c>
      <c r="B19" s="50">
        <v>149.57</v>
      </c>
      <c r="C19" s="19">
        <v>1169.69</v>
      </c>
      <c r="D19" s="19">
        <v>81.5</v>
      </c>
      <c r="E19" s="19">
        <v>154.49</v>
      </c>
      <c r="F19" s="19">
        <v>12.84</v>
      </c>
      <c r="G19" s="19">
        <v>496.9</v>
      </c>
      <c r="H19" s="19">
        <v>1277.47</v>
      </c>
      <c r="I19" s="19">
        <v>3967.82</v>
      </c>
      <c r="J19" s="19">
        <v>0</v>
      </c>
      <c r="K19" s="19">
        <v>1566.18</v>
      </c>
      <c r="L19" s="111">
        <v>5914.73</v>
      </c>
      <c r="M19" s="119">
        <v>2.62</v>
      </c>
      <c r="N19" s="60">
        <f t="shared" si="0"/>
        <v>14793.810000000001</v>
      </c>
      <c r="O19" s="19">
        <f>SUM('TRT 2010'!B19:M19)</f>
        <v>19007.150000000001</v>
      </c>
      <c r="P19" s="77">
        <f t="shared" si="1"/>
        <v>-0.2216713184249085</v>
      </c>
      <c r="Q19" s="49" t="s">
        <v>53</v>
      </c>
    </row>
    <row r="20" spans="1:21">
      <c r="A20" s="147" t="s">
        <v>30</v>
      </c>
      <c r="B20" s="111">
        <v>2665</v>
      </c>
      <c r="C20" s="111">
        <v>2665</v>
      </c>
      <c r="D20" s="111">
        <v>2665</v>
      </c>
      <c r="E20" s="111">
        <v>10692</v>
      </c>
      <c r="F20" s="111">
        <v>10692</v>
      </c>
      <c r="G20" s="111">
        <v>10692</v>
      </c>
      <c r="H20" s="111">
        <v>0</v>
      </c>
      <c r="I20" s="111">
        <v>801.54</v>
      </c>
      <c r="J20" s="111">
        <v>614.21</v>
      </c>
      <c r="K20" s="111">
        <v>14756.39</v>
      </c>
      <c r="L20" s="111">
        <v>55378.69</v>
      </c>
      <c r="M20" s="111">
        <v>1085.98</v>
      </c>
      <c r="N20" s="60">
        <f t="shared" si="0"/>
        <v>112707.81</v>
      </c>
      <c r="O20" s="19">
        <f>SUM('TRT 2010'!B20:M20)</f>
        <v>104821</v>
      </c>
      <c r="P20" s="77">
        <f t="shared" si="1"/>
        <v>7.524074374409695E-2</v>
      </c>
      <c r="Q20" s="49" t="s">
        <v>30</v>
      </c>
    </row>
    <row r="21" spans="1:21">
      <c r="A21" s="147" t="s">
        <v>31</v>
      </c>
      <c r="B21" s="50">
        <v>677571.67</v>
      </c>
      <c r="C21" s="19">
        <v>777514.92</v>
      </c>
      <c r="D21" s="19">
        <v>1071645.97</v>
      </c>
      <c r="E21" s="19">
        <v>1103235.0900000001</v>
      </c>
      <c r="F21" s="19">
        <v>1080766.8899999999</v>
      </c>
      <c r="G21" s="19">
        <v>965033.89</v>
      </c>
      <c r="H21" s="19">
        <v>953659.18</v>
      </c>
      <c r="I21" s="19">
        <v>1074070.8400000001</v>
      </c>
      <c r="J21" s="19">
        <v>980364.6</v>
      </c>
      <c r="K21" s="19">
        <v>1223233.3999999999</v>
      </c>
      <c r="L21" s="111">
        <v>922748.64</v>
      </c>
      <c r="M21" s="119">
        <v>1011288.76</v>
      </c>
      <c r="N21" s="60">
        <f t="shared" si="0"/>
        <v>11841133.85</v>
      </c>
      <c r="O21" s="19">
        <f>SUM('TRT 2010'!B21:M21)</f>
        <v>11049722.750000002</v>
      </c>
      <c r="P21" s="77">
        <f t="shared" si="1"/>
        <v>7.1622711076619439E-2</v>
      </c>
      <c r="Q21" s="49" t="s">
        <v>31</v>
      </c>
    </row>
    <row r="22" spans="1:21">
      <c r="A22" s="147" t="s">
        <v>45</v>
      </c>
      <c r="B22" s="50">
        <v>24472.91</v>
      </c>
      <c r="C22" s="19">
        <v>15840.89</v>
      </c>
      <c r="D22" s="19">
        <v>6440.76</v>
      </c>
      <c r="E22" s="19">
        <v>13862.54</v>
      </c>
      <c r="F22" s="19">
        <v>15328.4</v>
      </c>
      <c r="G22" s="19">
        <v>38797.279999999999</v>
      </c>
      <c r="H22" s="19">
        <v>40747.910000000003</v>
      </c>
      <c r="I22" s="19">
        <v>86241.75</v>
      </c>
      <c r="J22" s="19">
        <v>30269.54</v>
      </c>
      <c r="K22" s="19">
        <v>103200.21</v>
      </c>
      <c r="L22" s="111">
        <v>84931.16</v>
      </c>
      <c r="M22" s="119">
        <v>42872.02</v>
      </c>
      <c r="N22" s="60">
        <f t="shared" si="0"/>
        <v>503005.37</v>
      </c>
      <c r="O22" s="19">
        <f>SUM('TRT 2010'!B22:M22)</f>
        <v>444365.04000000004</v>
      </c>
      <c r="P22" s="77">
        <f t="shared" si="1"/>
        <v>0.13196431924527618</v>
      </c>
      <c r="Q22" s="49" t="s">
        <v>45</v>
      </c>
    </row>
    <row r="23" spans="1:21">
      <c r="A23" s="147" t="s">
        <v>32</v>
      </c>
      <c r="B23" s="50">
        <v>617.85</v>
      </c>
      <c r="C23" s="19">
        <v>7672.85</v>
      </c>
      <c r="D23" s="19">
        <v>286.75</v>
      </c>
      <c r="E23" s="19">
        <v>4440.8100000000004</v>
      </c>
      <c r="F23" s="19">
        <v>7806.08</v>
      </c>
      <c r="G23" s="19">
        <v>3705.3</v>
      </c>
      <c r="H23" s="19">
        <v>5866.63</v>
      </c>
      <c r="I23" s="19">
        <v>15936.02</v>
      </c>
      <c r="J23" s="19">
        <v>332.9</v>
      </c>
      <c r="K23" s="19">
        <v>12693.21</v>
      </c>
      <c r="L23" s="111">
        <v>11717.96</v>
      </c>
      <c r="M23" s="119">
        <v>1356.99</v>
      </c>
      <c r="N23" s="60">
        <f t="shared" si="0"/>
        <v>72433.35000000002</v>
      </c>
      <c r="O23" s="19">
        <f>SUM('TRT 2010'!B23:M23)</f>
        <v>79099.17</v>
      </c>
      <c r="P23" s="77">
        <f t="shared" si="1"/>
        <v>-8.4271680726864528E-2</v>
      </c>
      <c r="Q23" s="49" t="s">
        <v>32</v>
      </c>
    </row>
    <row r="24" spans="1:21">
      <c r="A24" s="147" t="s">
        <v>33</v>
      </c>
      <c r="B24" s="50">
        <v>11849.69</v>
      </c>
      <c r="C24" s="19">
        <v>12933.05</v>
      </c>
      <c r="D24" s="19">
        <v>18845.45</v>
      </c>
      <c r="E24" s="19">
        <v>13957.16</v>
      </c>
      <c r="F24" s="19">
        <v>17575.82</v>
      </c>
      <c r="G24" s="19">
        <v>25576.35</v>
      </c>
      <c r="H24" s="19">
        <v>34264.080000000002</v>
      </c>
      <c r="I24" s="19">
        <v>53705.05</v>
      </c>
      <c r="J24" s="19">
        <v>43471.73</v>
      </c>
      <c r="K24" s="19">
        <v>43195.53</v>
      </c>
      <c r="L24" s="111">
        <v>51328.74</v>
      </c>
      <c r="M24" s="119">
        <v>33210.559999999998</v>
      </c>
      <c r="N24" s="60">
        <f t="shared" si="0"/>
        <v>359913.21</v>
      </c>
      <c r="O24" s="19">
        <f>SUM('TRT 2010'!B24:M24)</f>
        <v>273735.62</v>
      </c>
      <c r="P24" s="77">
        <f t="shared" si="1"/>
        <v>0.31482051915640374</v>
      </c>
      <c r="Q24" s="49" t="s">
        <v>33</v>
      </c>
    </row>
    <row r="25" spans="1:21">
      <c r="A25" s="147" t="s">
        <v>34</v>
      </c>
      <c r="B25" s="50">
        <v>153598.28</v>
      </c>
      <c r="C25" s="19">
        <v>649566.81000000006</v>
      </c>
      <c r="D25" s="19">
        <v>814631.75</v>
      </c>
      <c r="E25" s="19">
        <v>824363.14</v>
      </c>
      <c r="F25" s="19">
        <v>1256343.1399999999</v>
      </c>
      <c r="G25" s="19">
        <v>229648.72</v>
      </c>
      <c r="H25" s="19">
        <v>61825.89</v>
      </c>
      <c r="I25" s="19">
        <v>228572.35</v>
      </c>
      <c r="J25" s="19">
        <v>248154.36</v>
      </c>
      <c r="K25" s="19">
        <v>220569.11</v>
      </c>
      <c r="L25" s="111">
        <v>194092.98</v>
      </c>
      <c r="M25" s="119">
        <v>132654.16</v>
      </c>
      <c r="N25" s="60">
        <f t="shared" si="0"/>
        <v>5014020.6900000013</v>
      </c>
      <c r="O25" s="19">
        <f>SUM('TRT 2010'!B25:M25)</f>
        <v>3986834.4299999997</v>
      </c>
      <c r="P25" s="77">
        <f t="shared" si="1"/>
        <v>0.25764457441991184</v>
      </c>
      <c r="Q25" s="49" t="s">
        <v>34</v>
      </c>
    </row>
    <row r="26" spans="1:21">
      <c r="A26" s="147" t="s">
        <v>35</v>
      </c>
      <c r="B26" s="50">
        <v>10391.16</v>
      </c>
      <c r="C26" s="19">
        <v>21698.2</v>
      </c>
      <c r="D26" s="19">
        <v>11851.9</v>
      </c>
      <c r="E26" s="19">
        <v>7808.14</v>
      </c>
      <c r="F26" s="19">
        <v>22603.81</v>
      </c>
      <c r="G26" s="19">
        <v>25006.52</v>
      </c>
      <c r="H26" s="19">
        <v>16225.17</v>
      </c>
      <c r="I26" s="19">
        <v>38329.82</v>
      </c>
      <c r="J26" s="19">
        <v>22626.03</v>
      </c>
      <c r="K26" s="19">
        <v>27253.06</v>
      </c>
      <c r="L26" s="111">
        <v>36277.54</v>
      </c>
      <c r="M26" s="119">
        <v>19397.38</v>
      </c>
      <c r="N26" s="60">
        <f t="shared" si="0"/>
        <v>259468.73</v>
      </c>
      <c r="O26" s="19">
        <f>SUM('TRT 2010'!B26:M26)</f>
        <v>264477.74</v>
      </c>
      <c r="P26" s="77">
        <f t="shared" si="1"/>
        <v>-1.8939249858986207E-2</v>
      </c>
      <c r="Q26" s="49" t="s">
        <v>35</v>
      </c>
    </row>
    <row r="27" spans="1:21">
      <c r="A27" s="147" t="s">
        <v>36</v>
      </c>
      <c r="B27" s="50">
        <v>29235</v>
      </c>
      <c r="C27" s="19">
        <v>43694.66</v>
      </c>
      <c r="D27" s="19">
        <v>34421.449999999997</v>
      </c>
      <c r="E27" s="19">
        <v>34729.79</v>
      </c>
      <c r="F27" s="19">
        <v>38408.18</v>
      </c>
      <c r="G27" s="19">
        <v>45794.3</v>
      </c>
      <c r="H27" s="19">
        <v>49892.11</v>
      </c>
      <c r="I27" s="19">
        <v>70764.789999999994</v>
      </c>
      <c r="J27" s="19">
        <v>66511.210000000006</v>
      </c>
      <c r="K27" s="19">
        <v>73139.63</v>
      </c>
      <c r="L27" s="111">
        <v>71598.490000000005</v>
      </c>
      <c r="M27" s="119">
        <v>80367.8</v>
      </c>
      <c r="N27" s="60">
        <f t="shared" si="0"/>
        <v>638557.41</v>
      </c>
      <c r="O27" s="19">
        <f>SUM('TRT 2010'!B27:M27)</f>
        <v>502103.29</v>
      </c>
      <c r="P27" s="77">
        <f t="shared" si="1"/>
        <v>0.27176503862382595</v>
      </c>
      <c r="Q27" s="49" t="s">
        <v>36</v>
      </c>
    </row>
    <row r="28" spans="1:21">
      <c r="A28" s="147" t="s">
        <v>37</v>
      </c>
      <c r="B28" s="111">
        <v>106333</v>
      </c>
      <c r="C28" s="111">
        <v>63632</v>
      </c>
      <c r="D28" s="111">
        <v>145039</v>
      </c>
      <c r="E28" s="111">
        <v>154642</v>
      </c>
      <c r="F28" s="111">
        <v>124333</v>
      </c>
      <c r="G28" s="111">
        <v>178559</v>
      </c>
      <c r="H28" s="111">
        <v>133725</v>
      </c>
      <c r="I28" s="111">
        <v>148765</v>
      </c>
      <c r="J28" s="111">
        <v>162428.76999999999</v>
      </c>
      <c r="K28" s="111">
        <v>188197.21</v>
      </c>
      <c r="L28" s="111">
        <v>225197.23</v>
      </c>
      <c r="M28" s="119">
        <v>143057.15</v>
      </c>
      <c r="N28" s="60">
        <f t="shared" si="0"/>
        <v>1773908.3599999999</v>
      </c>
      <c r="O28" s="19">
        <f>SUM('TRT 2010'!B28:M28)</f>
        <v>1680100</v>
      </c>
      <c r="P28" s="77">
        <f t="shared" si="1"/>
        <v>5.5834986012737176E-2</v>
      </c>
      <c r="Q28" s="49" t="s">
        <v>37</v>
      </c>
    </row>
    <row r="29" spans="1:21">
      <c r="A29" s="147" t="s">
        <v>38</v>
      </c>
      <c r="B29" s="50">
        <v>121957.26</v>
      </c>
      <c r="C29" s="19">
        <v>121524.64</v>
      </c>
      <c r="D29" s="19">
        <v>150445.76000000001</v>
      </c>
      <c r="E29" s="19">
        <v>35966.81</v>
      </c>
      <c r="F29" s="19">
        <v>190860.34</v>
      </c>
      <c r="G29" s="19">
        <v>63453.78</v>
      </c>
      <c r="H29" s="19">
        <v>42004.49</v>
      </c>
      <c r="I29" s="19">
        <v>120499.67</v>
      </c>
      <c r="J29" s="19">
        <v>61370.21</v>
      </c>
      <c r="K29" s="19">
        <v>84589.54</v>
      </c>
      <c r="L29" s="111">
        <v>58655.41</v>
      </c>
      <c r="M29" s="119">
        <v>38117.839999999997</v>
      </c>
      <c r="N29" s="60">
        <f t="shared" si="0"/>
        <v>1089445.7500000002</v>
      </c>
      <c r="O29" s="19">
        <f>SUM('TRT 2010'!B29:M29)</f>
        <v>816633.62999999989</v>
      </c>
      <c r="P29" s="77">
        <f t="shared" si="1"/>
        <v>0.334069171263496</v>
      </c>
      <c r="Q29" s="49" t="s">
        <v>38</v>
      </c>
    </row>
    <row r="30" spans="1:21">
      <c r="A30" s="49" t="s">
        <v>39</v>
      </c>
      <c r="B30" s="50">
        <v>156990.98000000001</v>
      </c>
      <c r="C30" s="19">
        <v>162997.26</v>
      </c>
      <c r="D30" s="19">
        <v>131841.93</v>
      </c>
      <c r="E30" s="19">
        <v>176042.84</v>
      </c>
      <c r="F30" s="19">
        <v>277249.89</v>
      </c>
      <c r="G30" s="19">
        <v>390468.46</v>
      </c>
      <c r="H30" s="19">
        <v>366629.15</v>
      </c>
      <c r="I30" s="19">
        <v>450421.88</v>
      </c>
      <c r="J30" s="19">
        <v>258897.41</v>
      </c>
      <c r="K30" s="19">
        <v>346471.74</v>
      </c>
      <c r="L30" s="19">
        <v>409124.72</v>
      </c>
      <c r="M30" s="51">
        <v>322878.15999999997</v>
      </c>
      <c r="N30" s="60">
        <f t="shared" si="0"/>
        <v>3450014.42</v>
      </c>
      <c r="O30" s="19">
        <f>SUM('TRT 2010'!B30:M30)</f>
        <v>3394175.5100000002</v>
      </c>
      <c r="P30" s="77">
        <f t="shared" si="1"/>
        <v>1.6451391460307718E-2</v>
      </c>
      <c r="Q30" s="49" t="s">
        <v>97</v>
      </c>
    </row>
    <row r="31" spans="1:21">
      <c r="A31" s="49" t="s">
        <v>40</v>
      </c>
      <c r="B31" s="50">
        <v>11179.86</v>
      </c>
      <c r="C31" s="19">
        <v>9535.15</v>
      </c>
      <c r="D31" s="19">
        <v>1932.36</v>
      </c>
      <c r="E31" s="19">
        <v>2704.95</v>
      </c>
      <c r="F31" s="19">
        <v>8449.15</v>
      </c>
      <c r="G31" s="19">
        <v>16410.88</v>
      </c>
      <c r="H31" s="19">
        <v>11566.39</v>
      </c>
      <c r="I31" s="19">
        <v>53827.38</v>
      </c>
      <c r="J31" s="19">
        <v>20926.93</v>
      </c>
      <c r="K31" s="19">
        <v>21749.79</v>
      </c>
      <c r="L31" s="19">
        <v>49423.23</v>
      </c>
      <c r="M31" s="51">
        <v>4484.3900000000003</v>
      </c>
      <c r="N31" s="60">
        <f t="shared" si="0"/>
        <v>212190.46000000002</v>
      </c>
      <c r="O31" s="19">
        <f>SUM('TRT 2010'!B31:M31)</f>
        <v>210575.35999999999</v>
      </c>
      <c r="P31" s="77">
        <f t="shared" si="1"/>
        <v>7.6699382111944381E-3</v>
      </c>
      <c r="Q31" s="49" t="s">
        <v>40</v>
      </c>
      <c r="U31" s="100"/>
    </row>
    <row r="32" spans="1:21" ht="13" thickBot="1">
      <c r="A32" s="53" t="s">
        <v>41</v>
      </c>
      <c r="B32" s="54">
        <v>62855.86</v>
      </c>
      <c r="C32" s="20">
        <v>80828.149999999994</v>
      </c>
      <c r="D32" s="20">
        <v>48485.760000000002</v>
      </c>
      <c r="E32" s="20">
        <v>65922.880000000005</v>
      </c>
      <c r="F32" s="20">
        <v>117863.58</v>
      </c>
      <c r="G32" s="20">
        <v>85724.83</v>
      </c>
      <c r="H32" s="20">
        <v>65315.79</v>
      </c>
      <c r="I32" s="20">
        <v>137515.14000000001</v>
      </c>
      <c r="J32" s="20">
        <v>76510.7</v>
      </c>
      <c r="K32" s="20">
        <v>91894.5</v>
      </c>
      <c r="L32" s="20">
        <v>101074.39</v>
      </c>
      <c r="M32" s="55">
        <v>80717.039999999994</v>
      </c>
      <c r="N32" s="61">
        <f t="shared" si="0"/>
        <v>1014708.6200000001</v>
      </c>
      <c r="O32" s="19">
        <f>SUM('TRT 2010'!B32:M32)</f>
        <v>1032993.32</v>
      </c>
      <c r="P32" s="78">
        <f t="shared" si="1"/>
        <v>-1.7700695295880364E-2</v>
      </c>
      <c r="Q32" s="53" t="s">
        <v>41</v>
      </c>
    </row>
    <row r="33" spans="1:21" ht="14" thickTop="1" thickBot="1">
      <c r="A33" s="125" t="s">
        <v>54</v>
      </c>
      <c r="B33" s="126">
        <f t="shared" ref="B33:O33" si="2">SUM(B4:B32)</f>
        <v>1648189.59</v>
      </c>
      <c r="C33" s="127">
        <f t="shared" si="2"/>
        <v>2279459.34</v>
      </c>
      <c r="D33" s="127">
        <f t="shared" si="2"/>
        <v>2791007.6100000003</v>
      </c>
      <c r="E33" s="127">
        <f t="shared" si="2"/>
        <v>2872851.08</v>
      </c>
      <c r="F33" s="127">
        <f t="shared" si="2"/>
        <v>3805199.04</v>
      </c>
      <c r="G33" s="127">
        <f t="shared" si="2"/>
        <v>2822462.37</v>
      </c>
      <c r="H33" s="127">
        <f t="shared" si="2"/>
        <v>2192558.58</v>
      </c>
      <c r="I33" s="127">
        <f t="shared" si="2"/>
        <v>3248003.2299999995</v>
      </c>
      <c r="J33" s="127">
        <f t="shared" si="2"/>
        <v>2741962.0300000007</v>
      </c>
      <c r="K33" s="127">
        <f t="shared" si="2"/>
        <v>3305438.6899999995</v>
      </c>
      <c r="L33" s="127">
        <f t="shared" si="2"/>
        <v>3372094.9900000012</v>
      </c>
      <c r="M33" s="128">
        <f t="shared" si="2"/>
        <v>2499159.14</v>
      </c>
      <c r="N33" s="62">
        <f t="shared" si="2"/>
        <v>33578385.690000005</v>
      </c>
      <c r="O33" s="127">
        <f t="shared" si="2"/>
        <v>31038780.270000003</v>
      </c>
      <c r="P33" s="113">
        <f t="shared" si="1"/>
        <v>8.1820400090096834E-2</v>
      </c>
      <c r="U33" s="100"/>
    </row>
    <row r="34" spans="1:21">
      <c r="B34" s="28">
        <f>B33/'TRT 2010'!B33-1</f>
        <v>0.17107464447940113</v>
      </c>
      <c r="C34" s="28">
        <f>C33/'TRT 2010'!C33-1</f>
        <v>0.10049266597025319</v>
      </c>
      <c r="D34" s="28">
        <f>D33/'TRT 2010'!D33-1</f>
        <v>6.1744973372147793E-2</v>
      </c>
      <c r="E34" s="28">
        <f>E33/'TRT 2010'!E33-1</f>
        <v>0.13765069693211451</v>
      </c>
      <c r="F34" s="28">
        <f>F33/'TRT 2010'!F33-1</f>
        <v>0.14141917476410693</v>
      </c>
      <c r="G34" s="28">
        <f>G33/'TRT 2010'!G33-1</f>
        <v>0.16648363615927786</v>
      </c>
      <c r="H34" s="28">
        <f>H33/'TRT 2010'!H33-1</f>
        <v>-0.16783014378076255</v>
      </c>
      <c r="I34" s="28">
        <f>I33/'TRT 2010'!I33-1</f>
        <v>1.0040642962624302E-2</v>
      </c>
      <c r="J34" s="28">
        <f>J33/'TRT 2010'!J33-1</f>
        <v>-8.1373781048291627E-2</v>
      </c>
      <c r="K34" s="28">
        <f>K33/'TRT 2010'!K33-1</f>
        <v>0.15128262054631492</v>
      </c>
      <c r="L34" s="28">
        <f>L33/'TRT 2010'!L33-1</f>
        <v>0.27245062679710697</v>
      </c>
      <c r="M34" s="28">
        <f>M33/'TRT 2010'!M33-1</f>
        <v>8.8367742827318407E-2</v>
      </c>
      <c r="N34" s="28"/>
    </row>
    <row r="35" spans="1:21">
      <c r="B35" s="28"/>
      <c r="C35" s="28"/>
      <c r="D35" s="28"/>
      <c r="E35" s="28"/>
      <c r="F35" s="28"/>
      <c r="G35" s="28"/>
      <c r="H35" s="225"/>
      <c r="I35" s="225"/>
      <c r="J35" s="28"/>
      <c r="K35" s="28"/>
      <c r="L35" s="28"/>
      <c r="M35" s="28"/>
      <c r="N35" s="116"/>
    </row>
    <row r="36" spans="1:21" ht="21">
      <c r="A36" s="691" t="s">
        <v>114</v>
      </c>
      <c r="B36" s="691"/>
      <c r="C36" s="691"/>
      <c r="D36" s="691"/>
      <c r="E36" s="691"/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</row>
    <row r="37" spans="1:21" ht="13" thickBot="1"/>
    <row r="38" spans="1:21" ht="13" thickBot="1">
      <c r="A38" s="129" t="s">
        <v>42</v>
      </c>
      <c r="B38" s="130" t="s">
        <v>2</v>
      </c>
      <c r="C38" s="131" t="s">
        <v>3</v>
      </c>
      <c r="D38" s="131" t="s">
        <v>4</v>
      </c>
      <c r="E38" s="131" t="s">
        <v>5</v>
      </c>
      <c r="F38" s="131" t="s">
        <v>6</v>
      </c>
      <c r="G38" s="131" t="s">
        <v>7</v>
      </c>
      <c r="H38" s="131" t="s">
        <v>8</v>
      </c>
      <c r="I38" s="131" t="s">
        <v>9</v>
      </c>
      <c r="J38" s="131" t="s">
        <v>10</v>
      </c>
      <c r="K38" s="131" t="s">
        <v>11</v>
      </c>
      <c r="L38" s="131" t="s">
        <v>12</v>
      </c>
      <c r="M38" s="132" t="s">
        <v>13</v>
      </c>
      <c r="N38" s="52" t="s">
        <v>112</v>
      </c>
      <c r="O38" s="131" t="s">
        <v>107</v>
      </c>
      <c r="P38" s="135" t="s">
        <v>16</v>
      </c>
    </row>
    <row r="39" spans="1:21" ht="13" thickBot="1">
      <c r="A39" s="40" t="s">
        <v>31</v>
      </c>
      <c r="B39" s="41">
        <v>93781.53</v>
      </c>
      <c r="C39" s="42">
        <v>107614.54</v>
      </c>
      <c r="D39" s="42">
        <v>148317.88</v>
      </c>
      <c r="E39" s="42">
        <v>152696.87</v>
      </c>
      <c r="F39" s="42">
        <v>149587.16</v>
      </c>
      <c r="G39" s="42">
        <v>133567.46</v>
      </c>
      <c r="H39" s="42">
        <v>131994.35</v>
      </c>
      <c r="I39" s="42">
        <v>148660.37</v>
      </c>
      <c r="J39" s="42">
        <v>135688.04999999999</v>
      </c>
      <c r="K39" s="42">
        <v>169305.66</v>
      </c>
      <c r="L39" s="42">
        <v>127716.13</v>
      </c>
      <c r="M39" s="43">
        <v>139970.72</v>
      </c>
      <c r="N39" s="46">
        <f>SUM(B39:M39)</f>
        <v>1638900.72</v>
      </c>
      <c r="O39" s="187">
        <f>SUM('TRT 2010'!B39:M39)</f>
        <v>1506773.9099999997</v>
      </c>
      <c r="P39" s="115">
        <f>N39/O39-1</f>
        <v>8.7688543797523222E-2</v>
      </c>
    </row>
    <row r="40" spans="1:21">
      <c r="B40" s="28">
        <f>(B39/'TRT 2010'!B39-1)</f>
        <v>8.6085900836115004E-2</v>
      </c>
      <c r="C40" s="28">
        <f>(C39/'TRT 2010'!C39-1)</f>
        <v>4.7616091006403849E-3</v>
      </c>
      <c r="D40" s="28">
        <f>(D39/'TRT 2010'!D39-1)</f>
        <v>0.15026416823939681</v>
      </c>
      <c r="E40" s="28">
        <f>(E39/'TRT 2010'!E39-1)</f>
        <v>0.12255286545762711</v>
      </c>
      <c r="F40" s="28">
        <f>(F39/'TRT 2010'!F39-1)</f>
        <v>-0.12841688741675539</v>
      </c>
      <c r="G40" s="28">
        <f>(G39/'TRT 2010'!G39-1)</f>
        <v>0.2268907377770395</v>
      </c>
      <c r="H40" s="28">
        <f>(H39/'TRT 2010'!H39-1)</f>
        <v>1.0239676611498938E-2</v>
      </c>
      <c r="I40" s="28">
        <f>(I39/'TRT 2010'!I39-1)</f>
        <v>0.16083869723393751</v>
      </c>
      <c r="J40" s="28">
        <f>(J39/'TRT 2010'!J39-1)</f>
        <v>-3.9969918766661117E-2</v>
      </c>
      <c r="K40" s="28">
        <f>(K39/'TRT 2010'!K39-1)</f>
        <v>0.16552624917622483</v>
      </c>
      <c r="L40" s="28">
        <f>(L39/'TRT 2010'!L39-1)</f>
        <v>0.21909006658712871</v>
      </c>
      <c r="M40" s="28">
        <f>(M39/'TRT 2010'!M39-1)</f>
        <v>0.18843415075367154</v>
      </c>
      <c r="N40" s="28"/>
    </row>
    <row r="41" spans="1:21">
      <c r="N41" s="100"/>
    </row>
    <row r="42" spans="1:21">
      <c r="A42" s="188"/>
      <c r="M42" s="186"/>
      <c r="N42" s="100"/>
    </row>
    <row r="43" spans="1:21">
      <c r="H43" s="100"/>
      <c r="I43" s="100"/>
      <c r="J43" s="100"/>
    </row>
    <row r="44" spans="1:21">
      <c r="H44" s="100"/>
    </row>
    <row r="45" spans="1:21">
      <c r="G45" s="116"/>
      <c r="H45" s="100"/>
      <c r="I45" s="100"/>
    </row>
    <row r="46" spans="1:21">
      <c r="G46" s="186"/>
    </row>
    <row r="47" spans="1:21">
      <c r="G47" s="195"/>
    </row>
    <row r="48" spans="1:21">
      <c r="G48" s="186"/>
    </row>
    <row r="49" spans="7:7">
      <c r="G49" s="186"/>
    </row>
    <row r="50" spans="7:7">
      <c r="G50" s="186"/>
    </row>
    <row r="51" spans="7:7">
      <c r="G51" s="193"/>
    </row>
    <row r="52" spans="7:7">
      <c r="G52" s="194"/>
    </row>
  </sheetData>
  <mergeCells count="2">
    <mergeCell ref="A1:P1"/>
    <mergeCell ref="A36:P36"/>
  </mergeCells>
  <phoneticPr fontId="0" type="noConversion"/>
  <printOptions horizontalCentered="1"/>
  <pageMargins left="0" right="0" top="1" bottom="1" header="0.5" footer="0.5"/>
  <pageSetup scale="81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 enableFormatConditionsCalculation="0">
    <tabColor rgb="FF0070C0"/>
    <pageSetUpPr fitToPage="1"/>
  </sheetPr>
  <dimension ref="A1:R49"/>
  <sheetViews>
    <sheetView workbookViewId="0">
      <selection activeCell="B30" sqref="B30:M30"/>
    </sheetView>
  </sheetViews>
  <sheetFormatPr baseColWidth="10" defaultColWidth="8.83203125" defaultRowHeight="12" x14ac:dyDescent="0"/>
  <cols>
    <col min="1" max="1" width="11.33203125" bestFit="1" customWidth="1"/>
    <col min="2" max="13" width="9.6640625" customWidth="1"/>
    <col min="14" max="14" width="11.1640625" bestFit="1" customWidth="1"/>
    <col min="15" max="15" width="9.5" bestFit="1" customWidth="1"/>
    <col min="16" max="16" width="10.1640625" bestFit="1" customWidth="1"/>
    <col min="18" max="18" width="10.1640625" bestFit="1" customWidth="1"/>
  </cols>
  <sheetData>
    <row r="1" spans="1:18" ht="21">
      <c r="A1" s="691" t="s">
        <v>108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18" ht="13" thickBot="1">
      <c r="C2" s="100"/>
    </row>
    <row r="3" spans="1:18" ht="13" thickBot="1">
      <c r="A3" s="129" t="s">
        <v>42</v>
      </c>
      <c r="B3" s="130" t="s">
        <v>2</v>
      </c>
      <c r="C3" s="131" t="s">
        <v>3</v>
      </c>
      <c r="D3" s="131" t="s">
        <v>4</v>
      </c>
      <c r="E3" s="131" t="s">
        <v>5</v>
      </c>
      <c r="F3" s="131" t="s">
        <v>6</v>
      </c>
      <c r="G3" s="131" t="s">
        <v>7</v>
      </c>
      <c r="H3" s="131" t="s">
        <v>8</v>
      </c>
      <c r="I3" s="131" t="s">
        <v>9</v>
      </c>
      <c r="J3" s="131" t="s">
        <v>10</v>
      </c>
      <c r="K3" s="131" t="s">
        <v>11</v>
      </c>
      <c r="L3" s="131" t="s">
        <v>12</v>
      </c>
      <c r="M3" s="132" t="s">
        <v>13</v>
      </c>
      <c r="N3" s="52" t="s">
        <v>107</v>
      </c>
      <c r="O3" s="131" t="s">
        <v>100</v>
      </c>
      <c r="P3" s="131" t="s">
        <v>16</v>
      </c>
      <c r="Q3" s="143"/>
    </row>
    <row r="4" spans="1:18">
      <c r="A4" s="49" t="s">
        <v>17</v>
      </c>
      <c r="B4" s="50">
        <v>5566.65</v>
      </c>
      <c r="C4" s="19">
        <v>16429.93</v>
      </c>
      <c r="D4" s="19">
        <v>10647.3</v>
      </c>
      <c r="E4" s="19">
        <v>4994.62</v>
      </c>
      <c r="F4" s="19">
        <v>18034.91</v>
      </c>
      <c r="G4" s="19">
        <v>11525.46</v>
      </c>
      <c r="H4" s="19">
        <v>7810.59</v>
      </c>
      <c r="I4" s="19">
        <v>31608.61</v>
      </c>
      <c r="J4" s="19">
        <v>13296.89</v>
      </c>
      <c r="K4" s="19">
        <v>8562.1299999999992</v>
      </c>
      <c r="L4" s="19">
        <v>24950.81</v>
      </c>
      <c r="M4" s="51">
        <v>25413.55</v>
      </c>
      <c r="N4" s="106">
        <f t="shared" ref="N4:N32" si="0">SUM(B4:M4)</f>
        <v>178841.44999999998</v>
      </c>
      <c r="O4" s="19">
        <f>SUM('TRT 2009'!B4:M4)</f>
        <v>191479.11</v>
      </c>
      <c r="P4" s="77">
        <f t="shared" ref="P4:P33" si="1">N4/O4-1</f>
        <v>-6.600020231972048E-2</v>
      </c>
      <c r="Q4" s="49" t="s">
        <v>17</v>
      </c>
    </row>
    <row r="5" spans="1:18">
      <c r="A5" s="147" t="s">
        <v>18</v>
      </c>
      <c r="B5" s="50">
        <v>6356.73</v>
      </c>
      <c r="C5" s="19">
        <v>16432.45</v>
      </c>
      <c r="D5" s="19">
        <v>10261.02</v>
      </c>
      <c r="E5" s="19">
        <v>9093.33</v>
      </c>
      <c r="F5" s="19">
        <v>21378.04</v>
      </c>
      <c r="G5" s="19">
        <v>11628.5</v>
      </c>
      <c r="H5" s="19">
        <v>15847.04</v>
      </c>
      <c r="I5" s="19">
        <v>30741.42</v>
      </c>
      <c r="J5" s="19">
        <v>19632.98</v>
      </c>
      <c r="K5" s="19">
        <v>21933.73</v>
      </c>
      <c r="L5" s="19">
        <v>22633.79</v>
      </c>
      <c r="M5" s="51">
        <v>25935.54</v>
      </c>
      <c r="N5" s="60">
        <f t="shared" si="0"/>
        <v>211874.57000000004</v>
      </c>
      <c r="O5" s="19">
        <f>SUM('TRT 2009'!B5:M5)</f>
        <v>219983.08</v>
      </c>
      <c r="P5" s="77">
        <f t="shared" si="1"/>
        <v>-3.6859698482264891E-2</v>
      </c>
      <c r="Q5" s="49" t="s">
        <v>18</v>
      </c>
    </row>
    <row r="6" spans="1:18">
      <c r="A6" s="147" t="s">
        <v>19</v>
      </c>
      <c r="B6" s="50">
        <v>28239.96</v>
      </c>
      <c r="C6" s="19">
        <v>14454.69</v>
      </c>
      <c r="D6" s="19">
        <v>17619.509999999998</v>
      </c>
      <c r="E6" s="19">
        <v>21668.36</v>
      </c>
      <c r="F6" s="19">
        <v>27281.7</v>
      </c>
      <c r="G6" s="19">
        <v>24855.77</v>
      </c>
      <c r="H6" s="19">
        <v>27105.41</v>
      </c>
      <c r="I6" s="19">
        <v>40395.47</v>
      </c>
      <c r="J6" s="19">
        <v>37103.89</v>
      </c>
      <c r="K6" s="19">
        <v>40337.910000000003</v>
      </c>
      <c r="L6" s="19">
        <v>31662.48</v>
      </c>
      <c r="M6" s="51">
        <v>36970.94</v>
      </c>
      <c r="N6" s="60">
        <f t="shared" si="0"/>
        <v>347696.09</v>
      </c>
      <c r="O6" s="19">
        <f>SUM('TRT 2009'!B6:M6)</f>
        <v>302382.45999999996</v>
      </c>
      <c r="P6" s="77">
        <f t="shared" si="1"/>
        <v>0.14985535205977252</v>
      </c>
      <c r="Q6" s="49" t="s">
        <v>19</v>
      </c>
    </row>
    <row r="7" spans="1:18">
      <c r="A7" s="147" t="s">
        <v>20</v>
      </c>
      <c r="B7" s="50">
        <v>17974.5</v>
      </c>
      <c r="C7" s="19">
        <v>8307.1</v>
      </c>
      <c r="D7" s="19">
        <v>7644.86</v>
      </c>
      <c r="E7" s="19">
        <v>11438.98</v>
      </c>
      <c r="F7" s="19">
        <v>22233.19</v>
      </c>
      <c r="G7" s="19">
        <v>17284.759999999998</v>
      </c>
      <c r="H7" s="19">
        <v>18698.62</v>
      </c>
      <c r="I7" s="19">
        <v>19568.97</v>
      </c>
      <c r="J7" s="111">
        <v>18545.45</v>
      </c>
      <c r="K7" s="111">
        <v>19025.669999999998</v>
      </c>
      <c r="L7" s="111">
        <v>22097.61</v>
      </c>
      <c r="M7" s="119">
        <v>39254.89</v>
      </c>
      <c r="N7" s="60">
        <f t="shared" si="0"/>
        <v>222074.59999999998</v>
      </c>
      <c r="O7" s="19">
        <f>SUM('TRT 2009'!B7:M7)</f>
        <v>175415.23</v>
      </c>
      <c r="P7" s="77">
        <f t="shared" si="1"/>
        <v>0.26599383645308317</v>
      </c>
      <c r="Q7" s="49" t="s">
        <v>20</v>
      </c>
    </row>
    <row r="8" spans="1:18">
      <c r="A8" s="147" t="s">
        <v>21</v>
      </c>
      <c r="B8" s="50">
        <v>1589.27</v>
      </c>
      <c r="C8" s="19">
        <v>1462.67</v>
      </c>
      <c r="D8" s="19">
        <v>1784.92</v>
      </c>
      <c r="E8" s="19">
        <v>1109.8499999999999</v>
      </c>
      <c r="F8" s="19">
        <v>1508.75</v>
      </c>
      <c r="G8" s="19">
        <v>4743.3</v>
      </c>
      <c r="H8" s="19">
        <v>5754.36</v>
      </c>
      <c r="I8" s="19">
        <v>13753.3</v>
      </c>
      <c r="J8" s="111">
        <v>13568.7</v>
      </c>
      <c r="K8" s="111">
        <v>6006.96</v>
      </c>
      <c r="L8" s="111">
        <v>21846.67</v>
      </c>
      <c r="M8" s="119">
        <v>3597.3</v>
      </c>
      <c r="N8" s="60">
        <f t="shared" si="0"/>
        <v>76726.05</v>
      </c>
      <c r="O8" s="111">
        <f>SUM('TRT 2009'!B8:M8)</f>
        <v>67572.05</v>
      </c>
      <c r="P8" s="77">
        <f t="shared" si="1"/>
        <v>0.13547021290607586</v>
      </c>
      <c r="Q8" s="49" t="s">
        <v>21</v>
      </c>
    </row>
    <row r="9" spans="1:18">
      <c r="A9" s="147" t="s">
        <v>22</v>
      </c>
      <c r="B9" s="111">
        <v>37639.589999999997</v>
      </c>
      <c r="C9" s="111">
        <v>31953.18</v>
      </c>
      <c r="D9" s="111">
        <v>60244</v>
      </c>
      <c r="E9" s="111">
        <v>65943</v>
      </c>
      <c r="F9" s="111">
        <v>73626.58</v>
      </c>
      <c r="G9" s="111">
        <v>90164.68</v>
      </c>
      <c r="H9" s="111">
        <v>126203.4</v>
      </c>
      <c r="I9" s="111">
        <v>68552</v>
      </c>
      <c r="J9" s="111">
        <v>154941.39000000001</v>
      </c>
      <c r="K9" s="111">
        <v>66674.3</v>
      </c>
      <c r="L9" s="111">
        <v>62788.34</v>
      </c>
      <c r="M9" s="119">
        <v>112122</v>
      </c>
      <c r="N9" s="60">
        <f t="shared" si="0"/>
        <v>950852.46</v>
      </c>
      <c r="O9" s="111">
        <f>SUM('TRT 2009'!B9:M9)</f>
        <v>968186.11</v>
      </c>
      <c r="P9" s="77">
        <f t="shared" si="1"/>
        <v>-1.790322110694198E-2</v>
      </c>
      <c r="Q9" s="49" t="s">
        <v>22</v>
      </c>
    </row>
    <row r="10" spans="1:18">
      <c r="A10" s="147" t="s">
        <v>23</v>
      </c>
      <c r="B10" s="50">
        <v>2888</v>
      </c>
      <c r="C10" s="111">
        <v>2496</v>
      </c>
      <c r="D10" s="111">
        <v>2994</v>
      </c>
      <c r="E10" s="111">
        <v>3529</v>
      </c>
      <c r="F10" s="111">
        <v>4301</v>
      </c>
      <c r="G10" s="111">
        <v>9081</v>
      </c>
      <c r="H10" s="111">
        <v>12473</v>
      </c>
      <c r="I10" s="111">
        <v>10027</v>
      </c>
      <c r="J10" s="111">
        <v>10518</v>
      </c>
      <c r="K10" s="111">
        <v>4239</v>
      </c>
      <c r="L10" s="111">
        <v>3139</v>
      </c>
      <c r="M10" s="111">
        <v>3696</v>
      </c>
      <c r="N10" s="60">
        <f t="shared" si="0"/>
        <v>69381</v>
      </c>
      <c r="O10" s="111">
        <f>SUM('TRT 2009'!B10:M10)</f>
        <v>69416</v>
      </c>
      <c r="P10" s="77">
        <f t="shared" si="1"/>
        <v>-5.0420652299176805E-4</v>
      </c>
      <c r="Q10" s="49" t="s">
        <v>23</v>
      </c>
    </row>
    <row r="11" spans="1:18">
      <c r="A11" s="147" t="s">
        <v>51</v>
      </c>
      <c r="B11" s="111">
        <v>17223</v>
      </c>
      <c r="C11" s="111">
        <v>13462</v>
      </c>
      <c r="D11" s="111">
        <v>14224</v>
      </c>
      <c r="E11" s="111">
        <v>14727</v>
      </c>
      <c r="F11" s="111">
        <v>22903</v>
      </c>
      <c r="G11" s="111">
        <v>27803</v>
      </c>
      <c r="H11" s="111">
        <v>46636</v>
      </c>
      <c r="I11" s="111">
        <v>37439</v>
      </c>
      <c r="J11" s="111">
        <v>32445</v>
      </c>
      <c r="K11" s="111">
        <v>60126</v>
      </c>
      <c r="L11" s="111">
        <v>26149</v>
      </c>
      <c r="M11" s="119">
        <v>13041</v>
      </c>
      <c r="N11" s="60">
        <f t="shared" si="0"/>
        <v>326178</v>
      </c>
      <c r="O11" s="111">
        <f>SUM('TRT 2009'!B11:M11)</f>
        <v>342497.2</v>
      </c>
      <c r="P11" s="77">
        <f t="shared" si="1"/>
        <v>-4.76476887986238E-2</v>
      </c>
      <c r="Q11" s="49" t="s">
        <v>51</v>
      </c>
    </row>
    <row r="12" spans="1:18">
      <c r="A12" s="147" t="s">
        <v>24</v>
      </c>
      <c r="B12" s="111">
        <v>35941</v>
      </c>
      <c r="C12" s="111">
        <v>25755</v>
      </c>
      <c r="D12" s="111">
        <v>21520</v>
      </c>
      <c r="E12" s="111">
        <v>15943</v>
      </c>
      <c r="F12" s="111">
        <v>27664</v>
      </c>
      <c r="G12" s="111">
        <v>76606</v>
      </c>
      <c r="H12" s="111">
        <v>184615</v>
      </c>
      <c r="I12" s="111">
        <v>177226</v>
      </c>
      <c r="J12" s="111">
        <v>116622</v>
      </c>
      <c r="K12" s="111">
        <v>205941</v>
      </c>
      <c r="L12" s="111">
        <v>193322</v>
      </c>
      <c r="M12" s="119">
        <v>71607</v>
      </c>
      <c r="N12" s="60">
        <f t="shared" si="0"/>
        <v>1152762</v>
      </c>
      <c r="O12" s="111">
        <f>SUM('TRT 2009'!B12:M12)</f>
        <v>1106964.3599999999</v>
      </c>
      <c r="P12" s="77">
        <f t="shared" si="1"/>
        <v>4.137228049510111E-2</v>
      </c>
      <c r="Q12" s="49" t="s">
        <v>24</v>
      </c>
      <c r="R12" s="100"/>
    </row>
    <row r="13" spans="1:18">
      <c r="A13" s="147" t="s">
        <v>25</v>
      </c>
      <c r="B13" s="111">
        <v>18211</v>
      </c>
      <c r="C13" s="111">
        <v>24334</v>
      </c>
      <c r="D13" s="111">
        <v>115135</v>
      </c>
      <c r="E13" s="111">
        <v>183520</v>
      </c>
      <c r="F13" s="146">
        <v>225893</v>
      </c>
      <c r="G13" s="111">
        <v>202521</v>
      </c>
      <c r="H13" s="111">
        <v>185973</v>
      </c>
      <c r="I13" s="111">
        <v>170048</v>
      </c>
      <c r="J13" s="111">
        <v>202103</v>
      </c>
      <c r="K13" s="111">
        <v>173114</v>
      </c>
      <c r="L13" s="111">
        <v>58656</v>
      </c>
      <c r="M13" s="119">
        <v>21667</v>
      </c>
      <c r="N13" s="60">
        <f t="shared" si="0"/>
        <v>1581175</v>
      </c>
      <c r="O13" s="111">
        <f>SUM('TRT 2009'!B13:M13)</f>
        <v>1468312</v>
      </c>
      <c r="P13" s="77">
        <f t="shared" si="1"/>
        <v>7.6865815984613617E-2</v>
      </c>
      <c r="Q13" s="49" t="s">
        <v>25</v>
      </c>
    </row>
    <row r="14" spans="1:18">
      <c r="A14" s="147" t="s">
        <v>26</v>
      </c>
      <c r="B14" s="50">
        <v>51776.68</v>
      </c>
      <c r="C14" s="19">
        <v>58687.57</v>
      </c>
      <c r="D14" s="19">
        <v>48354.080000000002</v>
      </c>
      <c r="E14" s="19">
        <v>47097.88</v>
      </c>
      <c r="F14" s="19">
        <v>69423.11</v>
      </c>
      <c r="G14" s="19">
        <v>53529.07</v>
      </c>
      <c r="H14" s="19">
        <v>54790.85</v>
      </c>
      <c r="I14" s="19">
        <v>113860.64</v>
      </c>
      <c r="J14" s="111">
        <v>87194.38</v>
      </c>
      <c r="K14" s="111">
        <v>79425.17</v>
      </c>
      <c r="L14" s="111">
        <v>95139.94</v>
      </c>
      <c r="M14" s="119">
        <v>80098.070000000007</v>
      </c>
      <c r="N14" s="60">
        <f t="shared" si="0"/>
        <v>839377.44000000018</v>
      </c>
      <c r="O14" s="111">
        <f>SUM('TRT 2009'!B14:M14)</f>
        <v>726328.99000000011</v>
      </c>
      <c r="P14" s="77">
        <f t="shared" si="1"/>
        <v>0.15564358790084931</v>
      </c>
      <c r="Q14" s="49" t="s">
        <v>26</v>
      </c>
    </row>
    <row r="15" spans="1:18">
      <c r="A15" s="147" t="s">
        <v>27</v>
      </c>
      <c r="B15" s="120">
        <v>1311.19</v>
      </c>
      <c r="C15" s="19">
        <v>6025.03</v>
      </c>
      <c r="D15" s="111">
        <v>1093.8800000000001</v>
      </c>
      <c r="E15" s="19">
        <v>2698.79</v>
      </c>
      <c r="F15" s="19">
        <v>6143.04</v>
      </c>
      <c r="G15" s="19">
        <v>3523.42</v>
      </c>
      <c r="H15" s="19">
        <v>3511.97</v>
      </c>
      <c r="I15" s="19">
        <v>13437.68</v>
      </c>
      <c r="J15" s="111">
        <v>3501.33</v>
      </c>
      <c r="K15" s="111">
        <v>2930.6</v>
      </c>
      <c r="L15" s="111">
        <v>10735.87</v>
      </c>
      <c r="M15" s="119">
        <v>6385.21</v>
      </c>
      <c r="N15" s="60">
        <f t="shared" si="0"/>
        <v>61298.01</v>
      </c>
      <c r="O15" s="111">
        <f>SUM('TRT 2009'!B15:M15)</f>
        <v>62207.11</v>
      </c>
      <c r="P15" s="77">
        <f t="shared" si="1"/>
        <v>-1.4614085110206787E-2</v>
      </c>
      <c r="Q15" s="49" t="s">
        <v>27</v>
      </c>
    </row>
    <row r="16" spans="1:18">
      <c r="A16" s="147" t="s">
        <v>28</v>
      </c>
      <c r="B16" s="50">
        <v>37198.949999999997</v>
      </c>
      <c r="C16" s="19">
        <v>36974.47</v>
      </c>
      <c r="D16" s="19">
        <v>17357.48</v>
      </c>
      <c r="E16" s="19">
        <v>14045.45</v>
      </c>
      <c r="F16" s="19">
        <v>70663.240000000005</v>
      </c>
      <c r="G16" s="19">
        <v>61889.2</v>
      </c>
      <c r="H16" s="19">
        <v>137048.67000000001</v>
      </c>
      <c r="I16" s="19">
        <v>163664.34</v>
      </c>
      <c r="J16" s="111">
        <v>149296.60999999999</v>
      </c>
      <c r="K16" s="111">
        <v>106280.82</v>
      </c>
      <c r="L16" s="111">
        <v>172980.22</v>
      </c>
      <c r="M16" s="119">
        <v>82638.100000000006</v>
      </c>
      <c r="N16" s="60">
        <f t="shared" si="0"/>
        <v>1050037.55</v>
      </c>
      <c r="O16" s="111">
        <f>SUM('TRT 2009'!B16:M16)</f>
        <v>688404.44</v>
      </c>
      <c r="P16" s="77">
        <f t="shared" si="1"/>
        <v>0.52532071117960855</v>
      </c>
      <c r="Q16" s="49" t="s">
        <v>28</v>
      </c>
    </row>
    <row r="17" spans="1:17">
      <c r="A17" s="147" t="s">
        <v>52</v>
      </c>
      <c r="B17" s="50">
        <v>6287.38</v>
      </c>
      <c r="C17" s="19">
        <v>7549.45</v>
      </c>
      <c r="D17" s="19">
        <v>2208.83</v>
      </c>
      <c r="E17" s="19">
        <v>1147.1600000000001</v>
      </c>
      <c r="F17" s="19">
        <v>9480.64</v>
      </c>
      <c r="G17" s="19">
        <v>9455.36</v>
      </c>
      <c r="H17" s="19">
        <v>7384.29</v>
      </c>
      <c r="I17" s="19">
        <v>13527.29</v>
      </c>
      <c r="J17" s="111">
        <v>10815.23</v>
      </c>
      <c r="K17" s="111">
        <v>9859.27</v>
      </c>
      <c r="L17" s="111">
        <v>20696.36</v>
      </c>
      <c r="M17" s="119">
        <v>7157.72</v>
      </c>
      <c r="N17" s="60">
        <f t="shared" si="0"/>
        <v>105568.98000000001</v>
      </c>
      <c r="O17" s="111">
        <f>SUM('TRT 2009'!B17:M17)</f>
        <v>100880.09999999999</v>
      </c>
      <c r="P17" s="77">
        <f t="shared" si="1"/>
        <v>4.647973187972676E-2</v>
      </c>
      <c r="Q17" s="49" t="s">
        <v>52</v>
      </c>
    </row>
    <row r="18" spans="1:17">
      <c r="A18" s="147" t="s">
        <v>29</v>
      </c>
      <c r="B18" s="50">
        <v>172.74</v>
      </c>
      <c r="C18" s="19">
        <v>286.2</v>
      </c>
      <c r="D18" s="19">
        <v>39.909999999999997</v>
      </c>
      <c r="E18" s="19">
        <v>151.27000000000001</v>
      </c>
      <c r="F18" s="19">
        <v>64.900000000000006</v>
      </c>
      <c r="G18" s="19">
        <v>0</v>
      </c>
      <c r="H18" s="19">
        <v>487.15</v>
      </c>
      <c r="I18" s="19">
        <v>795.73</v>
      </c>
      <c r="J18" s="19">
        <v>867.82</v>
      </c>
      <c r="K18" s="19">
        <v>753.56</v>
      </c>
      <c r="L18" s="19">
        <v>1699.95</v>
      </c>
      <c r="M18" s="51">
        <v>973.83</v>
      </c>
      <c r="N18" s="60">
        <f t="shared" si="0"/>
        <v>6293.06</v>
      </c>
      <c r="O18" s="111">
        <f>SUM('TRT 2009'!B18:M18)</f>
        <v>5722.34</v>
      </c>
      <c r="P18" s="77">
        <f t="shared" si="1"/>
        <v>9.9735422921392258E-2</v>
      </c>
      <c r="Q18" s="147" t="s">
        <v>29</v>
      </c>
    </row>
    <row r="19" spans="1:17">
      <c r="A19" s="147" t="s">
        <v>53</v>
      </c>
      <c r="B19" s="50">
        <v>331.28</v>
      </c>
      <c r="C19" s="19">
        <v>3558.03</v>
      </c>
      <c r="D19" s="19">
        <v>963.59</v>
      </c>
      <c r="E19" s="19">
        <v>60.13</v>
      </c>
      <c r="F19" s="19">
        <v>351.21</v>
      </c>
      <c r="G19" s="19">
        <v>123.53</v>
      </c>
      <c r="H19" s="19">
        <v>736.38</v>
      </c>
      <c r="I19" s="19">
        <v>3827.53</v>
      </c>
      <c r="J19" s="19">
        <v>621.54999999999995</v>
      </c>
      <c r="K19" s="19">
        <v>1215.67</v>
      </c>
      <c r="L19" s="19">
        <v>5666.6</v>
      </c>
      <c r="M19" s="51">
        <v>1551.65</v>
      </c>
      <c r="N19" s="60">
        <f t="shared" si="0"/>
        <v>19007.150000000001</v>
      </c>
      <c r="O19" s="19">
        <f>SUM('TRT 2009'!B19:M19)</f>
        <v>15392.01</v>
      </c>
      <c r="P19" s="77">
        <f t="shared" si="1"/>
        <v>0.23487120915332049</v>
      </c>
      <c r="Q19" s="147" t="s">
        <v>53</v>
      </c>
    </row>
    <row r="20" spans="1:17">
      <c r="A20" s="147" t="s">
        <v>30</v>
      </c>
      <c r="B20" s="111">
        <v>1564</v>
      </c>
      <c r="C20" s="111">
        <v>1564</v>
      </c>
      <c r="D20" s="111">
        <v>1564</v>
      </c>
      <c r="E20" s="111">
        <v>6594</v>
      </c>
      <c r="F20" s="111">
        <v>6594</v>
      </c>
      <c r="G20" s="111">
        <v>6594</v>
      </c>
      <c r="H20" s="111">
        <v>23292</v>
      </c>
      <c r="I20" s="111">
        <v>23292</v>
      </c>
      <c r="J20" s="111">
        <v>23292</v>
      </c>
      <c r="K20" s="111">
        <v>3489</v>
      </c>
      <c r="L20" s="111">
        <v>3489</v>
      </c>
      <c r="M20" s="111">
        <v>3493</v>
      </c>
      <c r="N20" s="60">
        <f t="shared" si="0"/>
        <v>104821</v>
      </c>
      <c r="O20" s="19">
        <f>SUM('TRT 2009'!B20:M20)</f>
        <v>35244</v>
      </c>
      <c r="P20" s="77">
        <f t="shared" si="1"/>
        <v>1.9741516286460108</v>
      </c>
      <c r="Q20" s="147" t="s">
        <v>30</v>
      </c>
    </row>
    <row r="21" spans="1:17">
      <c r="A21" s="147" t="s">
        <v>31</v>
      </c>
      <c r="B21" s="50">
        <v>623865.78</v>
      </c>
      <c r="C21" s="19">
        <v>773830.43</v>
      </c>
      <c r="D21" s="19">
        <v>931609.08</v>
      </c>
      <c r="E21" s="19">
        <v>982790.94</v>
      </c>
      <c r="F21" s="19">
        <v>1240004.5900000001</v>
      </c>
      <c r="G21" s="19">
        <v>786561.36</v>
      </c>
      <c r="H21" s="19">
        <v>943993.28</v>
      </c>
      <c r="I21" s="19">
        <v>1088535.17</v>
      </c>
      <c r="J21" s="19">
        <v>1021162.26</v>
      </c>
      <c r="K21" s="19">
        <v>1049511.68</v>
      </c>
      <c r="L21" s="19">
        <v>756916.55</v>
      </c>
      <c r="M21" s="51">
        <v>850941.63</v>
      </c>
      <c r="N21" s="60">
        <f t="shared" si="0"/>
        <v>11049722.750000002</v>
      </c>
      <c r="O21" s="19">
        <f>SUM('TRT 2009'!B21:M21)</f>
        <v>10616001.85</v>
      </c>
      <c r="P21" s="77">
        <f t="shared" si="1"/>
        <v>4.0855390393512714E-2</v>
      </c>
      <c r="Q21" s="147" t="s">
        <v>31</v>
      </c>
    </row>
    <row r="22" spans="1:17">
      <c r="A22" s="147" t="s">
        <v>45</v>
      </c>
      <c r="B22" s="50">
        <v>14388.33</v>
      </c>
      <c r="C22" s="19">
        <v>21692.45</v>
      </c>
      <c r="D22" s="19">
        <v>7658.91</v>
      </c>
      <c r="E22" s="19">
        <v>9735.8799999999992</v>
      </c>
      <c r="F22" s="19">
        <v>2105.85</v>
      </c>
      <c r="G22" s="19">
        <v>32502.75</v>
      </c>
      <c r="H22" s="19">
        <v>54659.46</v>
      </c>
      <c r="I22" s="19">
        <v>69960.25</v>
      </c>
      <c r="J22" s="19">
        <v>52986.01</v>
      </c>
      <c r="K22" s="19">
        <v>62139.3</v>
      </c>
      <c r="L22" s="19">
        <v>80138.39</v>
      </c>
      <c r="M22" s="51">
        <v>36397.46</v>
      </c>
      <c r="N22" s="60">
        <f t="shared" si="0"/>
        <v>444365.04000000004</v>
      </c>
      <c r="O22" s="19">
        <f>SUM('TRT 2009'!B22:M22)</f>
        <v>452597.39999999997</v>
      </c>
      <c r="P22" s="77">
        <f t="shared" si="1"/>
        <v>-1.8189145585016497E-2</v>
      </c>
      <c r="Q22" s="147" t="s">
        <v>45</v>
      </c>
    </row>
    <row r="23" spans="1:17">
      <c r="A23" s="147" t="s">
        <v>32</v>
      </c>
      <c r="B23" s="50">
        <v>6409.25</v>
      </c>
      <c r="C23" s="19">
        <v>9353.67</v>
      </c>
      <c r="D23" s="19">
        <v>0</v>
      </c>
      <c r="E23" s="19">
        <v>22.86</v>
      </c>
      <c r="F23" s="19">
        <v>10559.11</v>
      </c>
      <c r="G23" s="19">
        <v>630.72</v>
      </c>
      <c r="H23" s="19">
        <v>9731.58</v>
      </c>
      <c r="I23" s="19">
        <v>11239.62</v>
      </c>
      <c r="J23" s="19">
        <v>6400.24</v>
      </c>
      <c r="K23" s="19">
        <v>7476.35</v>
      </c>
      <c r="L23" s="19">
        <v>11920.76</v>
      </c>
      <c r="M23" s="51">
        <v>5355.01</v>
      </c>
      <c r="N23" s="60">
        <f t="shared" si="0"/>
        <v>79099.17</v>
      </c>
      <c r="O23" s="19">
        <f>SUM('TRT 2009'!B23:M23)</f>
        <v>70345.53</v>
      </c>
      <c r="P23" s="77">
        <f t="shared" si="1"/>
        <v>0.12443775745239249</v>
      </c>
      <c r="Q23" s="147" t="s">
        <v>32</v>
      </c>
    </row>
    <row r="24" spans="1:17">
      <c r="A24" s="147" t="s">
        <v>33</v>
      </c>
      <c r="B24" s="50">
        <v>15325.94</v>
      </c>
      <c r="C24" s="19">
        <v>14502.44</v>
      </c>
      <c r="D24" s="19">
        <v>12714.67</v>
      </c>
      <c r="E24" s="19">
        <v>4247.28</v>
      </c>
      <c r="F24" s="19">
        <v>19174.55</v>
      </c>
      <c r="G24" s="19">
        <v>13678.73</v>
      </c>
      <c r="H24" s="19">
        <v>30468.18</v>
      </c>
      <c r="I24" s="19">
        <v>27060.44</v>
      </c>
      <c r="J24" s="19">
        <v>43266.29</v>
      </c>
      <c r="K24" s="19">
        <v>30725.61</v>
      </c>
      <c r="L24" s="19">
        <v>32666.76</v>
      </c>
      <c r="M24" s="51">
        <v>29904.73</v>
      </c>
      <c r="N24" s="60">
        <f t="shared" si="0"/>
        <v>273735.62</v>
      </c>
      <c r="O24" s="19">
        <f>SUM('TRT 2009'!B24:M24)</f>
        <v>253560.48</v>
      </c>
      <c r="P24" s="77">
        <f t="shared" si="1"/>
        <v>7.9567367911592468E-2</v>
      </c>
      <c r="Q24" s="147" t="s">
        <v>33</v>
      </c>
    </row>
    <row r="25" spans="1:17">
      <c r="A25" s="147" t="s">
        <v>34</v>
      </c>
      <c r="B25" s="50">
        <v>116686</v>
      </c>
      <c r="C25" s="19">
        <v>523728.08</v>
      </c>
      <c r="D25" s="19">
        <v>768058.17</v>
      </c>
      <c r="E25" s="19">
        <v>684828.57</v>
      </c>
      <c r="F25" s="19">
        <v>759234.24</v>
      </c>
      <c r="G25" s="19">
        <v>245743.26</v>
      </c>
      <c r="H25" s="19">
        <v>53119.61</v>
      </c>
      <c r="I25" s="19">
        <v>141723.63</v>
      </c>
      <c r="J25" s="19">
        <v>234306.62</v>
      </c>
      <c r="K25" s="19">
        <v>191829.43</v>
      </c>
      <c r="L25" s="19">
        <v>148501.43</v>
      </c>
      <c r="M25" s="51">
        <v>119075.39</v>
      </c>
      <c r="N25" s="60">
        <f t="shared" si="0"/>
        <v>3986834.4299999997</v>
      </c>
      <c r="O25" s="19">
        <f>SUM('TRT 2009'!B25:M25)</f>
        <v>3616627.4600000004</v>
      </c>
      <c r="P25" s="77">
        <f t="shared" si="1"/>
        <v>0.10236248385947921</v>
      </c>
      <c r="Q25" s="147" t="s">
        <v>34</v>
      </c>
    </row>
    <row r="26" spans="1:17">
      <c r="A26" s="147" t="s">
        <v>35</v>
      </c>
      <c r="B26" s="50">
        <v>19086.740000000002</v>
      </c>
      <c r="C26" s="19">
        <v>8875.08</v>
      </c>
      <c r="D26" s="19">
        <v>17286.599999999999</v>
      </c>
      <c r="E26" s="19">
        <v>13272.85</v>
      </c>
      <c r="F26" s="19">
        <v>20858.93</v>
      </c>
      <c r="G26" s="19">
        <v>19448.240000000002</v>
      </c>
      <c r="H26" s="19">
        <v>16698.990000000002</v>
      </c>
      <c r="I26" s="19">
        <v>34959.14</v>
      </c>
      <c r="J26" s="19">
        <v>21099.22</v>
      </c>
      <c r="K26" s="19">
        <v>28885.31</v>
      </c>
      <c r="L26" s="19">
        <v>45262.58</v>
      </c>
      <c r="M26" s="51">
        <v>18744.060000000001</v>
      </c>
      <c r="N26" s="60">
        <f t="shared" si="0"/>
        <v>264477.74</v>
      </c>
      <c r="O26" s="19">
        <f>SUM('TRT 2009'!B26:M26)</f>
        <v>246498.14999999997</v>
      </c>
      <c r="P26" s="77">
        <f t="shared" si="1"/>
        <v>7.2940060604917534E-2</v>
      </c>
      <c r="Q26" s="147" t="s">
        <v>35</v>
      </c>
    </row>
    <row r="27" spans="1:17">
      <c r="A27" s="147" t="s">
        <v>36</v>
      </c>
      <c r="B27" s="50">
        <v>23293.98</v>
      </c>
      <c r="C27" s="19">
        <v>32812.839999999997</v>
      </c>
      <c r="D27" s="19">
        <v>28187.06</v>
      </c>
      <c r="E27" s="19">
        <v>22764.69</v>
      </c>
      <c r="F27" s="19">
        <v>37377.68</v>
      </c>
      <c r="G27" s="19">
        <v>33635.49</v>
      </c>
      <c r="H27" s="19">
        <v>38264.959999999999</v>
      </c>
      <c r="I27" s="19">
        <v>69726.95</v>
      </c>
      <c r="J27" s="19">
        <v>54046.2</v>
      </c>
      <c r="K27" s="19">
        <v>49461.08</v>
      </c>
      <c r="L27" s="19">
        <v>59137.3</v>
      </c>
      <c r="M27" s="51">
        <v>53395.06</v>
      </c>
      <c r="N27" s="60">
        <f t="shared" si="0"/>
        <v>502103.29</v>
      </c>
      <c r="O27" s="19">
        <f>SUM('TRT 2009'!B27:M27)</f>
        <v>579649.65999999992</v>
      </c>
      <c r="P27" s="77">
        <f t="shared" si="1"/>
        <v>-0.13378144653789659</v>
      </c>
      <c r="Q27" s="49" t="s">
        <v>36</v>
      </c>
    </row>
    <row r="28" spans="1:17">
      <c r="A28" s="147" t="s">
        <v>37</v>
      </c>
      <c r="B28" s="111">
        <v>57956</v>
      </c>
      <c r="C28" s="111">
        <v>96238</v>
      </c>
      <c r="D28" s="111">
        <v>130027</v>
      </c>
      <c r="E28" s="111">
        <v>98595</v>
      </c>
      <c r="F28" s="111">
        <v>138754</v>
      </c>
      <c r="G28" s="111">
        <v>174040</v>
      </c>
      <c r="H28" s="111">
        <v>156584</v>
      </c>
      <c r="I28" s="111">
        <v>187597</v>
      </c>
      <c r="J28" s="111">
        <v>156687</v>
      </c>
      <c r="K28" s="111">
        <v>179874</v>
      </c>
      <c r="L28" s="111">
        <v>168012</v>
      </c>
      <c r="M28" s="119">
        <v>135736</v>
      </c>
      <c r="N28" s="60">
        <f t="shared" si="0"/>
        <v>1680100</v>
      </c>
      <c r="O28" s="19">
        <f>SUM('TRT 2009'!B28:M28)</f>
        <v>1764257.8599999999</v>
      </c>
      <c r="P28" s="77">
        <f t="shared" si="1"/>
        <v>-4.7701564441379296E-2</v>
      </c>
      <c r="Q28" s="49" t="s">
        <v>37</v>
      </c>
    </row>
    <row r="29" spans="1:17">
      <c r="A29" s="147" t="s">
        <v>38</v>
      </c>
      <c r="B29" s="50">
        <v>30186.58</v>
      </c>
      <c r="C29" s="19">
        <v>66865.960000000006</v>
      </c>
      <c r="D29" s="19">
        <v>180076.33</v>
      </c>
      <c r="E29" s="19">
        <v>34160.050000000003</v>
      </c>
      <c r="F29" s="19">
        <v>119119.46</v>
      </c>
      <c r="G29" s="19">
        <v>44862.37</v>
      </c>
      <c r="H29" s="19">
        <v>34318.480000000003</v>
      </c>
      <c r="I29" s="19">
        <v>79940.179999999993</v>
      </c>
      <c r="J29" s="19">
        <v>79702.69</v>
      </c>
      <c r="K29" s="19">
        <v>54624.55</v>
      </c>
      <c r="L29" s="19">
        <v>54061.11</v>
      </c>
      <c r="M29" s="51">
        <v>38715.870000000003</v>
      </c>
      <c r="N29" s="60">
        <f t="shared" si="0"/>
        <v>816633.62999999989</v>
      </c>
      <c r="O29" s="19">
        <f>SUM('TRT 2009'!B29:M29)</f>
        <v>385049.07</v>
      </c>
      <c r="P29" s="77">
        <f t="shared" si="1"/>
        <v>1.1208559989509905</v>
      </c>
      <c r="Q29" s="49" t="s">
        <v>38</v>
      </c>
    </row>
    <row r="30" spans="1:17">
      <c r="A30" s="49" t="s">
        <v>39</v>
      </c>
      <c r="B30" s="50">
        <v>160861.67000000001</v>
      </c>
      <c r="C30" s="19">
        <v>165461.68</v>
      </c>
      <c r="D30" s="19">
        <v>120286.06</v>
      </c>
      <c r="E30" s="19">
        <v>206880.87</v>
      </c>
      <c r="F30" s="19">
        <v>285885.33</v>
      </c>
      <c r="G30" s="19">
        <v>369767.51</v>
      </c>
      <c r="H30" s="19">
        <v>349757.72</v>
      </c>
      <c r="I30" s="19">
        <v>427122.8</v>
      </c>
      <c r="J30" s="19">
        <v>283815.03999999998</v>
      </c>
      <c r="K30" s="19">
        <v>284922.46000000002</v>
      </c>
      <c r="L30" s="19">
        <v>364467.72</v>
      </c>
      <c r="M30" s="51">
        <v>374946.65</v>
      </c>
      <c r="N30" s="60">
        <f t="shared" si="0"/>
        <v>3394175.5100000002</v>
      </c>
      <c r="O30" s="19">
        <f>SUM('TRT 2009'!B30:M30)</f>
        <v>2890287.12</v>
      </c>
      <c r="P30" s="77">
        <f t="shared" si="1"/>
        <v>0.17433852384880022</v>
      </c>
      <c r="Q30" s="49" t="s">
        <v>97</v>
      </c>
    </row>
    <row r="31" spans="1:17">
      <c r="A31" s="49" t="s">
        <v>40</v>
      </c>
      <c r="B31" s="50">
        <v>7078.57</v>
      </c>
      <c r="C31" s="19">
        <v>13500.89</v>
      </c>
      <c r="D31" s="19">
        <v>2914.94</v>
      </c>
      <c r="E31" s="19">
        <v>109.08</v>
      </c>
      <c r="F31" s="19">
        <v>10474.549999999999</v>
      </c>
      <c r="G31" s="19">
        <v>12860.2</v>
      </c>
      <c r="H31" s="19">
        <v>18426.37</v>
      </c>
      <c r="I31" s="19">
        <v>39576.17</v>
      </c>
      <c r="J31" s="19">
        <v>21065.11</v>
      </c>
      <c r="K31" s="19">
        <v>34834.480000000003</v>
      </c>
      <c r="L31" s="19">
        <v>37454.89</v>
      </c>
      <c r="M31" s="51">
        <v>12280.11</v>
      </c>
      <c r="N31" s="60">
        <f t="shared" si="0"/>
        <v>210575.35999999999</v>
      </c>
      <c r="O31" s="19">
        <f>SUM('TRT 2009'!B31:M31)</f>
        <v>188947.29</v>
      </c>
      <c r="P31" s="77">
        <f t="shared" si="1"/>
        <v>0.11446615614333489</v>
      </c>
      <c r="Q31" s="49" t="s">
        <v>40</v>
      </c>
    </row>
    <row r="32" spans="1:17" ht="13" thickBot="1">
      <c r="A32" s="53" t="s">
        <v>41</v>
      </c>
      <c r="B32" s="54">
        <v>62005.58</v>
      </c>
      <c r="C32" s="20">
        <v>74714.78</v>
      </c>
      <c r="D32" s="20">
        <v>96223.48</v>
      </c>
      <c r="E32" s="20">
        <v>64078.93</v>
      </c>
      <c r="F32" s="20">
        <v>82651.149999999994</v>
      </c>
      <c r="G32" s="20">
        <v>74574.38</v>
      </c>
      <c r="H32" s="20">
        <v>70358.5</v>
      </c>
      <c r="I32" s="20">
        <v>106509.05</v>
      </c>
      <c r="J32" s="20">
        <v>115947.71</v>
      </c>
      <c r="K32" s="20">
        <v>86893.28</v>
      </c>
      <c r="L32" s="20">
        <v>113886.11</v>
      </c>
      <c r="M32" s="55">
        <v>85150.37</v>
      </c>
      <c r="N32" s="61">
        <f t="shared" si="0"/>
        <v>1032993.32</v>
      </c>
      <c r="O32" s="19">
        <f>SUM('TRT 2009'!B32:M32)</f>
        <v>959826.51</v>
      </c>
      <c r="P32" s="78">
        <f t="shared" si="1"/>
        <v>7.6229203129636325E-2</v>
      </c>
      <c r="Q32" s="53" t="s">
        <v>41</v>
      </c>
    </row>
    <row r="33" spans="1:16" ht="14" thickTop="1" thickBot="1">
      <c r="A33" s="125" t="s">
        <v>54</v>
      </c>
      <c r="B33" s="126">
        <f t="shared" ref="B33:O33" si="2">SUM(B4:B32)</f>
        <v>1407416.34</v>
      </c>
      <c r="C33" s="127">
        <f t="shared" si="2"/>
        <v>2071308.07</v>
      </c>
      <c r="D33" s="127">
        <f t="shared" si="2"/>
        <v>2628698.6800000002</v>
      </c>
      <c r="E33" s="127">
        <f t="shared" si="2"/>
        <v>2525248.8200000003</v>
      </c>
      <c r="F33" s="127">
        <f t="shared" si="2"/>
        <v>3333743.7500000005</v>
      </c>
      <c r="G33" s="127">
        <f t="shared" si="2"/>
        <v>2419633.06</v>
      </c>
      <c r="H33" s="127">
        <f t="shared" si="2"/>
        <v>2634748.8600000003</v>
      </c>
      <c r="I33" s="127">
        <f t="shared" si="2"/>
        <v>3215715.38</v>
      </c>
      <c r="J33" s="127">
        <f t="shared" si="2"/>
        <v>2984850.6100000003</v>
      </c>
      <c r="K33" s="127">
        <f t="shared" si="2"/>
        <v>2871092.3200000003</v>
      </c>
      <c r="L33" s="127">
        <f t="shared" si="2"/>
        <v>2650079.2400000002</v>
      </c>
      <c r="M33" s="128">
        <f t="shared" si="2"/>
        <v>2296245.14</v>
      </c>
      <c r="N33" s="62">
        <f t="shared" si="2"/>
        <v>31038780.270000003</v>
      </c>
      <c r="O33" s="127">
        <f t="shared" si="2"/>
        <v>28570034.969999999</v>
      </c>
      <c r="P33" s="113">
        <f t="shared" si="1"/>
        <v>8.6410300253125794E-2</v>
      </c>
    </row>
    <row r="34" spans="1:16">
      <c r="B34" s="28">
        <f>B33/'TRT 2009'!B33-1</f>
        <v>4.9186365196496551E-2</v>
      </c>
      <c r="C34" s="28">
        <f>C33/'TRT 2009'!C33-1</f>
        <v>-0.11185024109958253</v>
      </c>
      <c r="D34" s="28">
        <f>D33/'TRT 2009'!D33-1</f>
        <v>3.8041095778165612E-2</v>
      </c>
      <c r="E34" s="28">
        <f>E33/'TRT 2009'!E33-1</f>
        <v>6.0812933561674054E-2</v>
      </c>
      <c r="F34" s="28">
        <f>F33/'TRT 2009'!F33-1</f>
        <v>0.22501627221515852</v>
      </c>
      <c r="G34" s="28">
        <f>G33/'TRT 2009'!G33-1</f>
        <v>1.8823749524938593E-2</v>
      </c>
      <c r="H34" s="28">
        <f>H33/'TRT 2009'!H33-1</f>
        <v>0.21240791706692796</v>
      </c>
      <c r="I34" s="28">
        <f>I33/'TRT 2009'!I33-1</f>
        <v>0.13686357889674228</v>
      </c>
      <c r="J34" s="28">
        <f>J33/'TRT 2009'!J33-1</f>
        <v>0.1905816180178983</v>
      </c>
      <c r="K34" s="28">
        <f>K33/'TRT 2009'!K33-1</f>
        <v>6.6606240220815405E-2</v>
      </c>
      <c r="L34" s="28">
        <f>L33/'TRT 2009'!L33-1</f>
        <v>2.0728669244028497E-2</v>
      </c>
      <c r="M34" s="28">
        <f>M33/'TRT 2009'!M33-1</f>
        <v>9.8461972029504352E-2</v>
      </c>
      <c r="N34" s="28"/>
    </row>
    <row r="35" spans="1:16">
      <c r="A35" s="189" t="s">
        <v>116</v>
      </c>
      <c r="N35" s="116"/>
    </row>
    <row r="36" spans="1:16" ht="21">
      <c r="A36" s="691" t="s">
        <v>109</v>
      </c>
      <c r="B36" s="691"/>
      <c r="C36" s="691"/>
      <c r="D36" s="691"/>
      <c r="E36" s="691"/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</row>
    <row r="37" spans="1:16" ht="13" thickBot="1"/>
    <row r="38" spans="1:16" ht="13" thickBot="1">
      <c r="A38" s="129" t="s">
        <v>42</v>
      </c>
      <c r="B38" s="130" t="s">
        <v>2</v>
      </c>
      <c r="C38" s="131" t="s">
        <v>3</v>
      </c>
      <c r="D38" s="131" t="s">
        <v>4</v>
      </c>
      <c r="E38" s="131" t="s">
        <v>5</v>
      </c>
      <c r="F38" s="131" t="s">
        <v>6</v>
      </c>
      <c r="G38" s="131" t="s">
        <v>7</v>
      </c>
      <c r="H38" s="131" t="s">
        <v>8</v>
      </c>
      <c r="I38" s="131" t="s">
        <v>9</v>
      </c>
      <c r="J38" s="131" t="s">
        <v>10</v>
      </c>
      <c r="K38" s="131" t="s">
        <v>11</v>
      </c>
      <c r="L38" s="131" t="s">
        <v>12</v>
      </c>
      <c r="M38" s="132" t="s">
        <v>13</v>
      </c>
      <c r="N38" s="29" t="s">
        <v>107</v>
      </c>
      <c r="O38" s="131" t="s">
        <v>100</v>
      </c>
      <c r="P38" s="135" t="s">
        <v>16</v>
      </c>
    </row>
    <row r="39" spans="1:16" ht="13" thickBot="1">
      <c r="A39" s="40" t="s">
        <v>31</v>
      </c>
      <c r="B39" s="41">
        <v>86348.17</v>
      </c>
      <c r="C39" s="42">
        <v>107104.55</v>
      </c>
      <c r="D39" s="42">
        <v>128942.45</v>
      </c>
      <c r="E39" s="42">
        <v>136026.44</v>
      </c>
      <c r="F39" s="42">
        <v>171626.96</v>
      </c>
      <c r="G39" s="42">
        <v>108866.63</v>
      </c>
      <c r="H39" s="42">
        <v>130656.47</v>
      </c>
      <c r="I39" s="42">
        <v>128062.9</v>
      </c>
      <c r="J39" s="42">
        <v>141337.29</v>
      </c>
      <c r="K39" s="42">
        <v>145261.13</v>
      </c>
      <c r="L39" s="42">
        <v>104763.49</v>
      </c>
      <c r="M39" s="43">
        <v>117777.43</v>
      </c>
      <c r="N39" s="46">
        <f>SUM(B39:M39)</f>
        <v>1506773.9099999997</v>
      </c>
      <c r="O39" s="141">
        <f>SUM('TRT 2009'!B39:M39)</f>
        <v>1469527.9699999997</v>
      </c>
      <c r="P39" s="115">
        <f>N39/O39-1</f>
        <v>2.5345512817969595E-2</v>
      </c>
    </row>
    <row r="40" spans="1:16">
      <c r="B40" s="28">
        <f>B39/'TRT 2009'!B39-1</f>
        <v>6.806318190420102E-3</v>
      </c>
      <c r="C40" s="28">
        <f>C39/'TRT 2009'!C39-1</f>
        <v>-1.6233930551637799E-2</v>
      </c>
      <c r="D40" s="28">
        <f>D39/'TRT 2009'!D39-1</f>
        <v>-7.5739136593038769E-2</v>
      </c>
      <c r="E40" s="28">
        <f>E39/'TRT 2009'!E39-1</f>
        <v>-0.1675282094943803</v>
      </c>
      <c r="F40" s="28">
        <f>F39/'TRT 2009'!F39-1</f>
        <v>0.20567833059171226</v>
      </c>
      <c r="G40" s="28">
        <f>G39/'TRT 2009'!G39-1</f>
        <v>-0.12059725629482676</v>
      </c>
      <c r="H40" s="28">
        <f>H39/'TRT 2009'!H39-1</f>
        <v>0.36184015779678202</v>
      </c>
      <c r="I40" s="28">
        <f>I39/'TRT 2009'!I39-1</f>
        <v>0.11876613879269993</v>
      </c>
      <c r="J40" s="28">
        <f>J39/'TRT 2009'!J39-1</f>
        <v>0.10805803500555267</v>
      </c>
      <c r="K40" s="28">
        <f>K39/'TRT 2009'!K39-1</f>
        <v>0.15330574027543986</v>
      </c>
      <c r="L40" s="28">
        <f>L39/'TRT 2009'!L39-1</f>
        <v>-0.14794537727780377</v>
      </c>
      <c r="M40" s="28">
        <f>M39/'TRT 2009'!M39-1</f>
        <v>-1.0008562797448439E-2</v>
      </c>
      <c r="N40" s="28"/>
    </row>
    <row r="41" spans="1:16">
      <c r="N41" s="100"/>
    </row>
    <row r="42" spans="1:16">
      <c r="M42" s="186"/>
      <c r="N42" s="100"/>
    </row>
    <row r="43" spans="1:16">
      <c r="H43" s="100"/>
      <c r="I43" s="100"/>
      <c r="J43" s="100"/>
    </row>
    <row r="44" spans="1:16">
      <c r="H44" s="116"/>
    </row>
    <row r="45" spans="1:16">
      <c r="H45" s="116"/>
      <c r="I45" s="100"/>
    </row>
    <row r="46" spans="1:16">
      <c r="H46" s="116"/>
      <c r="N46" s="100"/>
    </row>
    <row r="47" spans="1:16">
      <c r="H47" s="116"/>
    </row>
    <row r="48" spans="1:16">
      <c r="H48" s="192"/>
    </row>
    <row r="49" spans="8:8">
      <c r="H49" s="192"/>
    </row>
  </sheetData>
  <mergeCells count="2">
    <mergeCell ref="A1:P1"/>
    <mergeCell ref="A36:P36"/>
  </mergeCells>
  <phoneticPr fontId="0" type="noConversion"/>
  <printOptions horizontalCentered="1"/>
  <pageMargins left="0" right="0" top="1" bottom="1" header="0.5" footer="0.5"/>
  <pageSetup scale="82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 enableFormatConditionsCalculation="0">
    <tabColor rgb="FF0070C0"/>
    <pageSetUpPr fitToPage="1"/>
  </sheetPr>
  <dimension ref="A1:Q45"/>
  <sheetViews>
    <sheetView workbookViewId="0">
      <selection activeCell="B30" sqref="B30:M30"/>
    </sheetView>
  </sheetViews>
  <sheetFormatPr baseColWidth="10" defaultColWidth="8.83203125" defaultRowHeight="12" x14ac:dyDescent="0"/>
  <cols>
    <col min="1" max="1" width="11.33203125" bestFit="1" customWidth="1"/>
    <col min="2" max="13" width="9.6640625" customWidth="1"/>
    <col min="14" max="14" width="11.1640625" bestFit="1" customWidth="1"/>
    <col min="15" max="15" width="9.5" bestFit="1" customWidth="1"/>
    <col min="16" max="16" width="10.1640625" bestFit="1" customWidth="1"/>
  </cols>
  <sheetData>
    <row r="1" spans="1:17" ht="21">
      <c r="A1" s="691" t="s">
        <v>101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17" ht="13" thickBot="1"/>
    <row r="3" spans="1:17" ht="13" thickBot="1">
      <c r="A3" s="129" t="s">
        <v>42</v>
      </c>
      <c r="B3" s="130" t="s">
        <v>334</v>
      </c>
      <c r="C3" s="131" t="s">
        <v>3</v>
      </c>
      <c r="D3" s="131" t="s">
        <v>4</v>
      </c>
      <c r="E3" s="131" t="s">
        <v>5</v>
      </c>
      <c r="F3" s="131" t="s">
        <v>6</v>
      </c>
      <c r="G3" s="131" t="s">
        <v>7</v>
      </c>
      <c r="H3" s="131" t="s">
        <v>8</v>
      </c>
      <c r="I3" s="131" t="s">
        <v>9</v>
      </c>
      <c r="J3" s="131" t="s">
        <v>10</v>
      </c>
      <c r="K3" s="131" t="s">
        <v>11</v>
      </c>
      <c r="L3" s="131" t="s">
        <v>12</v>
      </c>
      <c r="M3" s="132" t="s">
        <v>13</v>
      </c>
      <c r="N3" s="52" t="s">
        <v>100</v>
      </c>
      <c r="O3" s="131" t="s">
        <v>92</v>
      </c>
      <c r="P3" s="131" t="s">
        <v>16</v>
      </c>
      <c r="Q3" s="143"/>
    </row>
    <row r="4" spans="1:17">
      <c r="A4" s="49" t="s">
        <v>17</v>
      </c>
      <c r="B4" s="50">
        <v>6781.22</v>
      </c>
      <c r="C4" s="19">
        <v>18694.93</v>
      </c>
      <c r="D4" s="19">
        <v>15031.2</v>
      </c>
      <c r="E4" s="19">
        <v>2556.52</v>
      </c>
      <c r="F4" s="19">
        <v>16451.71</v>
      </c>
      <c r="G4" s="19">
        <v>17092.59</v>
      </c>
      <c r="H4" s="19">
        <v>7548.34</v>
      </c>
      <c r="I4" s="19">
        <v>32499.18</v>
      </c>
      <c r="J4" s="19">
        <v>18047.25</v>
      </c>
      <c r="K4" s="19">
        <v>15103.51</v>
      </c>
      <c r="L4" s="19">
        <v>33263.269999999997</v>
      </c>
      <c r="M4" s="51">
        <v>8409.39</v>
      </c>
      <c r="N4" s="106">
        <f t="shared" ref="N4:N32" si="0">SUM(B4:M4)</f>
        <v>191479.11</v>
      </c>
      <c r="O4" s="19">
        <f>SUM('TRT 2008'!B4:M4)</f>
        <v>172483</v>
      </c>
      <c r="P4" s="77">
        <f t="shared" ref="P4:P33" si="1">N4/O4-1</f>
        <v>0.11013323052126878</v>
      </c>
      <c r="Q4" s="49" t="s">
        <v>17</v>
      </c>
    </row>
    <row r="5" spans="1:17">
      <c r="A5" s="49" t="s">
        <v>18</v>
      </c>
      <c r="B5" s="50">
        <v>6682.31</v>
      </c>
      <c r="C5" s="19">
        <v>12136.33</v>
      </c>
      <c r="D5" s="19">
        <v>21837.09</v>
      </c>
      <c r="E5" s="19">
        <v>8580.7900000000009</v>
      </c>
      <c r="F5" s="19">
        <v>11738.16</v>
      </c>
      <c r="G5" s="19">
        <v>26666.39</v>
      </c>
      <c r="H5" s="19">
        <v>9525.31</v>
      </c>
      <c r="I5" s="19">
        <v>38610.75</v>
      </c>
      <c r="J5" s="19">
        <v>16911.169999999998</v>
      </c>
      <c r="K5" s="19">
        <v>19126.09</v>
      </c>
      <c r="L5" s="19">
        <v>34853.74</v>
      </c>
      <c r="M5" s="51">
        <v>13314.95</v>
      </c>
      <c r="N5" s="60">
        <f t="shared" si="0"/>
        <v>219983.08</v>
      </c>
      <c r="O5" s="19">
        <f>SUM('TRT 2008'!B5:M5)</f>
        <v>206604.64</v>
      </c>
      <c r="P5" s="77">
        <f t="shared" si="1"/>
        <v>6.4753821598585448E-2</v>
      </c>
      <c r="Q5" s="49" t="s">
        <v>18</v>
      </c>
    </row>
    <row r="6" spans="1:17">
      <c r="A6" s="49" t="s">
        <v>19</v>
      </c>
      <c r="B6" s="50">
        <v>10220.39</v>
      </c>
      <c r="C6" s="19">
        <v>19182.189999999999</v>
      </c>
      <c r="D6" s="19">
        <v>20431.29</v>
      </c>
      <c r="E6" s="19">
        <v>8479.77</v>
      </c>
      <c r="F6" s="19">
        <v>28047.24</v>
      </c>
      <c r="G6" s="19">
        <v>15298.46</v>
      </c>
      <c r="H6" s="19">
        <v>21141.19</v>
      </c>
      <c r="I6" s="19">
        <v>41979.47</v>
      </c>
      <c r="J6" s="19">
        <v>35906.81</v>
      </c>
      <c r="K6" s="19">
        <v>34306.400000000001</v>
      </c>
      <c r="L6" s="19">
        <v>47539</v>
      </c>
      <c r="M6" s="51">
        <v>19850.25</v>
      </c>
      <c r="N6" s="60">
        <f t="shared" si="0"/>
        <v>302382.45999999996</v>
      </c>
      <c r="O6" s="19">
        <f>SUM('TRT 2008'!B6:M6)</f>
        <v>314513.21999999997</v>
      </c>
      <c r="P6" s="77">
        <f t="shared" si="1"/>
        <v>-3.8569952639828653E-2</v>
      </c>
      <c r="Q6" s="49" t="s">
        <v>19</v>
      </c>
    </row>
    <row r="7" spans="1:17">
      <c r="A7" s="49" t="s">
        <v>20</v>
      </c>
      <c r="B7" s="50">
        <v>3139.31</v>
      </c>
      <c r="C7" s="19">
        <v>12861.47</v>
      </c>
      <c r="D7" s="19">
        <v>18258.439999999999</v>
      </c>
      <c r="E7" s="19">
        <v>10730.06</v>
      </c>
      <c r="F7" s="19">
        <v>18144.900000000001</v>
      </c>
      <c r="G7" s="19">
        <v>13616.59</v>
      </c>
      <c r="H7" s="19">
        <v>13821.71</v>
      </c>
      <c r="I7" s="19">
        <v>20910.580000000002</v>
      </c>
      <c r="J7" s="19">
        <v>19385.080000000002</v>
      </c>
      <c r="K7" s="19">
        <v>10656.14</v>
      </c>
      <c r="L7" s="19">
        <v>19657.71</v>
      </c>
      <c r="M7" s="51">
        <v>14233.24</v>
      </c>
      <c r="N7" s="60">
        <f t="shared" si="0"/>
        <v>175415.23</v>
      </c>
      <c r="O7" s="19">
        <f>SUM('TRT 2008'!B7:M7)</f>
        <v>249675.28</v>
      </c>
      <c r="P7" s="77">
        <f t="shared" si="1"/>
        <v>-0.29742652136006409</v>
      </c>
      <c r="Q7" s="49" t="s">
        <v>20</v>
      </c>
    </row>
    <row r="8" spans="1:17">
      <c r="A8" s="49" t="s">
        <v>21</v>
      </c>
      <c r="B8" s="50">
        <v>2048.4</v>
      </c>
      <c r="C8" s="19">
        <v>2180.7800000000002</v>
      </c>
      <c r="D8" s="19">
        <v>1772.08</v>
      </c>
      <c r="E8" s="19">
        <v>1168.28</v>
      </c>
      <c r="F8" s="19">
        <v>2141.16</v>
      </c>
      <c r="G8" s="19">
        <v>5608.07</v>
      </c>
      <c r="H8" s="19">
        <v>4503.1099999999997</v>
      </c>
      <c r="I8" s="19">
        <v>17258.21</v>
      </c>
      <c r="J8" s="19">
        <v>6728.27</v>
      </c>
      <c r="K8" s="19">
        <v>9246.48</v>
      </c>
      <c r="L8" s="19">
        <v>12140.36</v>
      </c>
      <c r="M8" s="51">
        <v>2776.85</v>
      </c>
      <c r="N8" s="60">
        <f t="shared" si="0"/>
        <v>67572.05</v>
      </c>
      <c r="O8" s="19">
        <f>SUM('TRT 2008'!B8:M8)</f>
        <v>72174.080000000002</v>
      </c>
      <c r="P8" s="77">
        <f t="shared" si="1"/>
        <v>-6.3762918765296384E-2</v>
      </c>
      <c r="Q8" s="49" t="s">
        <v>21</v>
      </c>
    </row>
    <row r="9" spans="1:17" s="1" customFormat="1" ht="10">
      <c r="A9" s="49" t="s">
        <v>22</v>
      </c>
      <c r="B9" s="111">
        <v>22921</v>
      </c>
      <c r="C9" s="111">
        <v>89509</v>
      </c>
      <c r="D9" s="111">
        <v>68172</v>
      </c>
      <c r="E9" s="111">
        <v>27539</v>
      </c>
      <c r="F9" s="111">
        <v>96900</v>
      </c>
      <c r="G9" s="111">
        <v>73956.11</v>
      </c>
      <c r="H9" s="111">
        <v>137436</v>
      </c>
      <c r="I9" s="111">
        <v>50085</v>
      </c>
      <c r="J9" s="111">
        <v>102329</v>
      </c>
      <c r="K9" s="111">
        <v>148965</v>
      </c>
      <c r="L9" s="111">
        <v>42186</v>
      </c>
      <c r="M9" s="119">
        <v>108188</v>
      </c>
      <c r="N9" s="60">
        <f t="shared" si="0"/>
        <v>968186.11</v>
      </c>
      <c r="O9" s="19">
        <f>SUM('TRT 2008'!B9:M9)</f>
        <v>1105618</v>
      </c>
      <c r="P9" s="77">
        <f t="shared" si="1"/>
        <v>-0.124303231314975</v>
      </c>
      <c r="Q9" s="49" t="s">
        <v>22</v>
      </c>
    </row>
    <row r="10" spans="1:17">
      <c r="A10" s="147" t="s">
        <v>23</v>
      </c>
      <c r="B10" s="50">
        <v>3099</v>
      </c>
      <c r="C10" s="111">
        <v>2266</v>
      </c>
      <c r="D10" s="111">
        <v>2667</v>
      </c>
      <c r="E10" s="111">
        <v>3284</v>
      </c>
      <c r="F10" s="111">
        <v>4588</v>
      </c>
      <c r="G10" s="111">
        <v>9703</v>
      </c>
      <c r="H10" s="111">
        <v>14116</v>
      </c>
      <c r="I10" s="111">
        <v>11234</v>
      </c>
      <c r="J10" s="111">
        <v>8707</v>
      </c>
      <c r="K10" s="111">
        <v>4007</v>
      </c>
      <c r="L10" s="111">
        <v>3299</v>
      </c>
      <c r="M10" s="111">
        <v>2446</v>
      </c>
      <c r="N10" s="60">
        <f t="shared" si="0"/>
        <v>69416</v>
      </c>
      <c r="O10" s="19">
        <f>SUM('TRT 2008'!B10:M10)</f>
        <v>87909</v>
      </c>
      <c r="P10" s="77">
        <f t="shared" si="1"/>
        <v>-0.21036526407990086</v>
      </c>
      <c r="Q10" s="49" t="s">
        <v>23</v>
      </c>
    </row>
    <row r="11" spans="1:17">
      <c r="A11" s="147" t="s">
        <v>51</v>
      </c>
      <c r="B11" s="111">
        <v>24807.75</v>
      </c>
      <c r="C11" s="111">
        <v>5883.43</v>
      </c>
      <c r="D11" s="111">
        <v>10162</v>
      </c>
      <c r="E11" s="111">
        <v>18500.2</v>
      </c>
      <c r="F11" s="111">
        <v>19074.37</v>
      </c>
      <c r="G11" s="111">
        <v>22157.21</v>
      </c>
      <c r="H11" s="111">
        <v>43639.57</v>
      </c>
      <c r="I11" s="111">
        <v>33948</v>
      </c>
      <c r="J11" s="111">
        <v>83813.67</v>
      </c>
      <c r="K11" s="111">
        <v>47772</v>
      </c>
      <c r="L11" s="111">
        <v>23982</v>
      </c>
      <c r="M11" s="119">
        <v>8757</v>
      </c>
      <c r="N11" s="60">
        <f t="shared" si="0"/>
        <v>342497.2</v>
      </c>
      <c r="O11" s="19">
        <f>SUM('TRT 2008'!B11:M11)</f>
        <v>281867</v>
      </c>
      <c r="P11" s="77">
        <f t="shared" si="1"/>
        <v>0.21510215811003075</v>
      </c>
      <c r="Q11" s="49" t="s">
        <v>51</v>
      </c>
    </row>
    <row r="12" spans="1:17">
      <c r="A12" s="147" t="s">
        <v>24</v>
      </c>
      <c r="B12" s="111">
        <v>43950.37</v>
      </c>
      <c r="C12" s="111">
        <v>24351.13</v>
      </c>
      <c r="D12" s="111">
        <v>12248.86</v>
      </c>
      <c r="E12" s="111">
        <v>17975.54</v>
      </c>
      <c r="F12" s="111">
        <v>29318.04</v>
      </c>
      <c r="G12" s="111">
        <v>86715.49</v>
      </c>
      <c r="H12" s="111">
        <v>171960</v>
      </c>
      <c r="I12" s="111">
        <v>153087.93</v>
      </c>
      <c r="J12" s="111">
        <v>129314</v>
      </c>
      <c r="K12" s="111">
        <v>204373</v>
      </c>
      <c r="L12" s="111">
        <v>157854</v>
      </c>
      <c r="M12" s="119">
        <v>75816</v>
      </c>
      <c r="N12" s="60">
        <f t="shared" si="0"/>
        <v>1106964.3599999999</v>
      </c>
      <c r="O12" s="19">
        <f>SUM('TRT 2008'!B12:M12)</f>
        <v>1069707</v>
      </c>
      <c r="P12" s="77">
        <f t="shared" si="1"/>
        <v>3.4829500040665318E-2</v>
      </c>
      <c r="Q12" s="49" t="s">
        <v>24</v>
      </c>
    </row>
    <row r="13" spans="1:17">
      <c r="A13" s="147" t="s">
        <v>25</v>
      </c>
      <c r="B13" s="111">
        <v>17660</v>
      </c>
      <c r="C13" s="111">
        <v>27174</v>
      </c>
      <c r="D13" s="111">
        <v>108121</v>
      </c>
      <c r="E13" s="111">
        <v>178725</v>
      </c>
      <c r="F13" s="146">
        <v>202599</v>
      </c>
      <c r="G13" s="111">
        <v>172838</v>
      </c>
      <c r="H13" s="111">
        <v>164534</v>
      </c>
      <c r="I13" s="111">
        <v>171033</v>
      </c>
      <c r="J13" s="111">
        <v>192840</v>
      </c>
      <c r="K13" s="111">
        <v>156125</v>
      </c>
      <c r="L13" s="111">
        <v>56373</v>
      </c>
      <c r="M13" s="119">
        <v>20290</v>
      </c>
      <c r="N13" s="60">
        <f t="shared" si="0"/>
        <v>1468312</v>
      </c>
      <c r="O13" s="19">
        <f>SUM('TRT 2008'!B13:M13)</f>
        <v>1492795</v>
      </c>
      <c r="P13" s="77">
        <f t="shared" si="1"/>
        <v>-1.6400778405608274E-2</v>
      </c>
      <c r="Q13" s="49" t="s">
        <v>25</v>
      </c>
    </row>
    <row r="14" spans="1:17">
      <c r="A14" s="49" t="s">
        <v>26</v>
      </c>
      <c r="B14" s="50">
        <v>21810.81</v>
      </c>
      <c r="C14" s="19">
        <v>71997.86</v>
      </c>
      <c r="D14" s="19">
        <v>30483.65</v>
      </c>
      <c r="E14" s="19">
        <v>40290.879999999997</v>
      </c>
      <c r="F14" s="19">
        <v>71444.75</v>
      </c>
      <c r="G14" s="19">
        <v>40511.42</v>
      </c>
      <c r="H14" s="19">
        <v>58929.65</v>
      </c>
      <c r="I14" s="19">
        <v>110654.82</v>
      </c>
      <c r="J14" s="111">
        <v>83818.67</v>
      </c>
      <c r="K14" s="19">
        <v>73242.259999999995</v>
      </c>
      <c r="L14" s="19">
        <v>73967.55</v>
      </c>
      <c r="M14" s="51">
        <v>49176.67</v>
      </c>
      <c r="N14" s="60">
        <f t="shared" si="0"/>
        <v>726328.99000000011</v>
      </c>
      <c r="O14" s="19">
        <f>SUM('TRT 2008'!B14:M14)</f>
        <v>838162.14</v>
      </c>
      <c r="P14" s="77">
        <f t="shared" si="1"/>
        <v>-0.13342663031761359</v>
      </c>
      <c r="Q14" s="49" t="s">
        <v>26</v>
      </c>
    </row>
    <row r="15" spans="1:17">
      <c r="A15" s="49" t="s">
        <v>27</v>
      </c>
      <c r="B15" s="120">
        <v>1765.57</v>
      </c>
      <c r="C15" s="19">
        <v>10529.65</v>
      </c>
      <c r="D15" s="111">
        <v>1308.29</v>
      </c>
      <c r="E15" s="19">
        <v>1651.75</v>
      </c>
      <c r="F15" s="19">
        <v>6952.17</v>
      </c>
      <c r="G15" s="19">
        <v>4031.87</v>
      </c>
      <c r="H15" s="19">
        <v>1856.98</v>
      </c>
      <c r="I15" s="19">
        <v>13960.92</v>
      </c>
      <c r="J15" s="19">
        <v>2933.45</v>
      </c>
      <c r="K15" s="19">
        <v>4160.5200000000004</v>
      </c>
      <c r="L15" s="19">
        <v>8729.2199999999993</v>
      </c>
      <c r="M15" s="51">
        <v>4326.72</v>
      </c>
      <c r="N15" s="60">
        <f t="shared" si="0"/>
        <v>62207.11</v>
      </c>
      <c r="O15" s="19">
        <f>SUM('TRT 2008'!B15:M15)</f>
        <v>74885.31</v>
      </c>
      <c r="P15" s="77">
        <f t="shared" si="1"/>
        <v>-0.16930156261621931</v>
      </c>
      <c r="Q15" s="49" t="s">
        <v>27</v>
      </c>
    </row>
    <row r="16" spans="1:17">
      <c r="A16" s="49" t="s">
        <v>28</v>
      </c>
      <c r="B16" s="50">
        <v>18907.259999999998</v>
      </c>
      <c r="C16" s="19">
        <v>34594.839999999997</v>
      </c>
      <c r="D16" s="19">
        <v>11111.3</v>
      </c>
      <c r="E16" s="19">
        <v>13612.1</v>
      </c>
      <c r="F16" s="19">
        <v>24990.19</v>
      </c>
      <c r="G16" s="19">
        <v>40579.11</v>
      </c>
      <c r="H16" s="19">
        <v>62260.98</v>
      </c>
      <c r="I16" s="19">
        <v>126286.83</v>
      </c>
      <c r="J16" s="19">
        <v>93719.82</v>
      </c>
      <c r="K16" s="19">
        <v>83512.210000000006</v>
      </c>
      <c r="L16" s="19">
        <v>113963.35</v>
      </c>
      <c r="M16" s="51">
        <v>64866.45</v>
      </c>
      <c r="N16" s="60">
        <f t="shared" si="0"/>
        <v>688404.44</v>
      </c>
      <c r="O16" s="19">
        <f>SUM('TRT 2008'!B16:M16)</f>
        <v>695687.98999999987</v>
      </c>
      <c r="P16" s="77">
        <f t="shared" si="1"/>
        <v>-1.046956409294908E-2</v>
      </c>
      <c r="Q16" s="49" t="s">
        <v>28</v>
      </c>
    </row>
    <row r="17" spans="1:17">
      <c r="A17" s="49" t="s">
        <v>52</v>
      </c>
      <c r="B17" s="50">
        <v>5509.42</v>
      </c>
      <c r="C17" s="19">
        <v>7704.03</v>
      </c>
      <c r="D17" s="19">
        <v>3859.86</v>
      </c>
      <c r="E17" s="19">
        <v>6093.68</v>
      </c>
      <c r="F17" s="19">
        <v>8615.51</v>
      </c>
      <c r="G17" s="19">
        <v>6365.42</v>
      </c>
      <c r="H17" s="19">
        <v>8760.7000000000007</v>
      </c>
      <c r="I17" s="19">
        <v>15191.2</v>
      </c>
      <c r="J17" s="19">
        <v>9593.66</v>
      </c>
      <c r="K17" s="19">
        <v>8990.0499999999993</v>
      </c>
      <c r="L17" s="19">
        <v>10729.59</v>
      </c>
      <c r="M17" s="51">
        <v>9466.98</v>
      </c>
      <c r="N17" s="60">
        <f t="shared" si="0"/>
        <v>100880.09999999999</v>
      </c>
      <c r="O17" s="19">
        <f>SUM('TRT 2008'!B17:M17)</f>
        <v>96651.37</v>
      </c>
      <c r="P17" s="77">
        <f t="shared" si="1"/>
        <v>4.3752406199725868E-2</v>
      </c>
      <c r="Q17" s="49" t="s">
        <v>52</v>
      </c>
    </row>
    <row r="18" spans="1:17">
      <c r="A18" s="49" t="s">
        <v>29</v>
      </c>
      <c r="B18" s="50"/>
      <c r="C18" s="19">
        <v>33.729999999999997</v>
      </c>
      <c r="D18" s="19">
        <v>36.54</v>
      </c>
      <c r="E18" s="19">
        <v>561.70000000000005</v>
      </c>
      <c r="F18" s="19">
        <v>210.33</v>
      </c>
      <c r="G18" s="19">
        <v>381.57</v>
      </c>
      <c r="H18" s="19"/>
      <c r="I18" s="19">
        <v>398.5</v>
      </c>
      <c r="J18" s="19"/>
      <c r="K18" s="19">
        <v>1431.37</v>
      </c>
      <c r="L18" s="19">
        <v>1398.42</v>
      </c>
      <c r="M18" s="51">
        <v>1270.18</v>
      </c>
      <c r="N18" s="60">
        <f t="shared" si="0"/>
        <v>5722.34</v>
      </c>
      <c r="O18" s="19">
        <f>SUM('TRT 2008'!B18:M18)</f>
        <v>3197.8399999999997</v>
      </c>
      <c r="P18" s="77">
        <f t="shared" si="1"/>
        <v>0.78943912140694983</v>
      </c>
      <c r="Q18" s="49" t="s">
        <v>29</v>
      </c>
    </row>
    <row r="19" spans="1:17">
      <c r="A19" s="49" t="s">
        <v>53</v>
      </c>
      <c r="B19" s="50">
        <v>3098.97</v>
      </c>
      <c r="C19" s="19">
        <v>2512.41</v>
      </c>
      <c r="D19" s="19"/>
      <c r="E19" s="19"/>
      <c r="F19" s="19"/>
      <c r="G19" s="19">
        <v>0</v>
      </c>
      <c r="H19" s="19">
        <v>0</v>
      </c>
      <c r="I19" s="19">
        <v>2465.61</v>
      </c>
      <c r="J19" s="19">
        <v>1221.68</v>
      </c>
      <c r="K19" s="19">
        <v>1951.26</v>
      </c>
      <c r="L19" s="19">
        <v>3524.07</v>
      </c>
      <c r="M19" s="51">
        <v>618.01</v>
      </c>
      <c r="N19" s="60">
        <f t="shared" si="0"/>
        <v>15392.01</v>
      </c>
      <c r="O19" s="19">
        <f>SUM('TRT 2008'!B19:M19)</f>
        <v>14084.180000000002</v>
      </c>
      <c r="P19" s="77">
        <f t="shared" si="1"/>
        <v>9.2858086164760545E-2</v>
      </c>
      <c r="Q19" s="49" t="s">
        <v>53</v>
      </c>
    </row>
    <row r="20" spans="1:17">
      <c r="A20" s="49" t="s">
        <v>30</v>
      </c>
      <c r="B20" s="111">
        <v>524</v>
      </c>
      <c r="C20" s="111">
        <v>524</v>
      </c>
      <c r="D20" s="111">
        <v>524</v>
      </c>
      <c r="E20" s="111">
        <v>4477</v>
      </c>
      <c r="F20" s="111">
        <v>4477</v>
      </c>
      <c r="G20" s="111">
        <v>4478</v>
      </c>
      <c r="H20" s="111">
        <v>5757</v>
      </c>
      <c r="I20" s="111">
        <v>5757</v>
      </c>
      <c r="J20" s="111">
        <v>5756</v>
      </c>
      <c r="K20" s="111">
        <v>990</v>
      </c>
      <c r="L20" s="111">
        <v>990</v>
      </c>
      <c r="M20" s="111">
        <v>990</v>
      </c>
      <c r="N20" s="60">
        <f t="shared" si="0"/>
        <v>35244</v>
      </c>
      <c r="O20" s="19">
        <f>SUM('TRT 2008'!B20:M20)</f>
        <v>78669</v>
      </c>
      <c r="P20" s="77">
        <f t="shared" si="1"/>
        <v>-0.55199633909163714</v>
      </c>
      <c r="Q20" s="49" t="s">
        <v>30</v>
      </c>
    </row>
    <row r="21" spans="1:17">
      <c r="A21" s="49" t="s">
        <v>31</v>
      </c>
      <c r="B21" s="50">
        <v>619094.56999999995</v>
      </c>
      <c r="C21" s="19">
        <v>787545.21</v>
      </c>
      <c r="D21" s="19">
        <v>1008169.45</v>
      </c>
      <c r="E21" s="19">
        <v>1182287.46</v>
      </c>
      <c r="F21" s="19">
        <v>1028437.79</v>
      </c>
      <c r="G21" s="19">
        <v>894426.68</v>
      </c>
      <c r="H21" s="19">
        <v>692790.51</v>
      </c>
      <c r="I21" s="19">
        <v>825920.07</v>
      </c>
      <c r="J21" s="19">
        <v>921578.13</v>
      </c>
      <c r="K21" s="19">
        <v>909754.03</v>
      </c>
      <c r="L21" s="19">
        <v>886453.13</v>
      </c>
      <c r="M21" s="51">
        <v>859544.82</v>
      </c>
      <c r="N21" s="60">
        <f t="shared" si="0"/>
        <v>10616001.85</v>
      </c>
      <c r="O21" s="19">
        <f>SUM('TRT 2008'!B21:M21)</f>
        <v>12949945.799999999</v>
      </c>
      <c r="P21" s="77">
        <f t="shared" si="1"/>
        <v>-0.18022808636002163</v>
      </c>
      <c r="Q21" s="49" t="s">
        <v>31</v>
      </c>
    </row>
    <row r="22" spans="1:17">
      <c r="A22" s="49" t="s">
        <v>45</v>
      </c>
      <c r="B22" s="50">
        <v>17724.41</v>
      </c>
      <c r="C22" s="19">
        <v>21526.11</v>
      </c>
      <c r="D22" s="19">
        <v>8664.74</v>
      </c>
      <c r="E22" s="19">
        <v>7821.29</v>
      </c>
      <c r="F22" s="19">
        <v>20030.62</v>
      </c>
      <c r="G22" s="19">
        <v>39783.949999999997</v>
      </c>
      <c r="H22" s="19">
        <v>50460.92</v>
      </c>
      <c r="I22" s="19">
        <v>71811.92</v>
      </c>
      <c r="J22" s="19">
        <v>49747.25</v>
      </c>
      <c r="K22" s="19">
        <v>48902.18</v>
      </c>
      <c r="L22" s="19">
        <v>79862.44</v>
      </c>
      <c r="M22" s="51">
        <v>36261.57</v>
      </c>
      <c r="N22" s="60">
        <f t="shared" si="0"/>
        <v>452597.39999999997</v>
      </c>
      <c r="O22" s="19">
        <f>SUM('TRT 2008'!B22:M22)</f>
        <v>520281.44</v>
      </c>
      <c r="P22" s="77">
        <f t="shared" si="1"/>
        <v>-0.13009120602111046</v>
      </c>
      <c r="Q22" s="49" t="s">
        <v>45</v>
      </c>
    </row>
    <row r="23" spans="1:17">
      <c r="A23" s="49" t="s">
        <v>32</v>
      </c>
      <c r="B23" s="50">
        <v>517.87</v>
      </c>
      <c r="C23" s="19">
        <v>13093.51</v>
      </c>
      <c r="D23" s="19">
        <v>706.41</v>
      </c>
      <c r="E23" s="19">
        <v>151.94</v>
      </c>
      <c r="F23" s="19">
        <v>7122.58</v>
      </c>
      <c r="G23" s="19">
        <v>5103.17</v>
      </c>
      <c r="H23" s="19">
        <v>5861.35</v>
      </c>
      <c r="I23" s="19">
        <v>12629.1</v>
      </c>
      <c r="J23" s="19">
        <v>848.39</v>
      </c>
      <c r="K23" s="19">
        <v>12877.2</v>
      </c>
      <c r="L23" s="19">
        <v>9853.17</v>
      </c>
      <c r="M23" s="51">
        <v>1580.84</v>
      </c>
      <c r="N23" s="60">
        <f t="shared" si="0"/>
        <v>70345.53</v>
      </c>
      <c r="O23" s="19">
        <f>SUM('TRT 2008'!B23:M23)</f>
        <v>74050.609999999986</v>
      </c>
      <c r="P23" s="77">
        <f t="shared" si="1"/>
        <v>-5.0034429155951465E-2</v>
      </c>
      <c r="Q23" s="49" t="s">
        <v>32</v>
      </c>
    </row>
    <row r="24" spans="1:17">
      <c r="A24" s="49" t="s">
        <v>33</v>
      </c>
      <c r="B24" s="50">
        <v>10368.219999999999</v>
      </c>
      <c r="C24" s="19">
        <v>25520.62</v>
      </c>
      <c r="D24" s="19">
        <v>13574.08</v>
      </c>
      <c r="E24" s="19">
        <v>6055.21</v>
      </c>
      <c r="F24" s="19">
        <v>18484.34</v>
      </c>
      <c r="G24" s="19">
        <v>12736.84</v>
      </c>
      <c r="H24" s="19">
        <v>17813.87</v>
      </c>
      <c r="I24" s="19">
        <v>48816.56</v>
      </c>
      <c r="J24" s="19">
        <v>21520.22</v>
      </c>
      <c r="K24" s="19">
        <v>19081.91</v>
      </c>
      <c r="L24" s="19">
        <v>46704.39</v>
      </c>
      <c r="M24" s="51">
        <v>12884.22</v>
      </c>
      <c r="N24" s="60">
        <f t="shared" si="0"/>
        <v>253560.48</v>
      </c>
      <c r="O24" s="19">
        <f>SUM('TRT 2008'!B24:M24)</f>
        <v>246171.46</v>
      </c>
      <c r="P24" s="77">
        <f t="shared" si="1"/>
        <v>3.0015745935779936E-2</v>
      </c>
      <c r="Q24" s="49" t="s">
        <v>33</v>
      </c>
    </row>
    <row r="25" spans="1:17">
      <c r="A25" s="49" t="s">
        <v>34</v>
      </c>
      <c r="B25" s="50">
        <v>95471.02</v>
      </c>
      <c r="C25" s="19">
        <v>653587.68000000005</v>
      </c>
      <c r="D25" s="19">
        <v>679254.02</v>
      </c>
      <c r="E25" s="19">
        <v>619453.51</v>
      </c>
      <c r="F25" s="19">
        <v>538697.88</v>
      </c>
      <c r="G25" s="19">
        <v>185496.93</v>
      </c>
      <c r="H25" s="19">
        <v>99038.17</v>
      </c>
      <c r="I25" s="19">
        <v>139916.66</v>
      </c>
      <c r="J25" s="19">
        <v>201111.29</v>
      </c>
      <c r="K25" s="19">
        <v>174791.69</v>
      </c>
      <c r="L25" s="19">
        <v>142036.46</v>
      </c>
      <c r="M25" s="51">
        <v>87772.15</v>
      </c>
      <c r="N25" s="60">
        <f t="shared" si="0"/>
        <v>3616627.4600000004</v>
      </c>
      <c r="O25" s="19">
        <f>SUM('TRT 2008'!B25:M25)</f>
        <v>5546457.0000000009</v>
      </c>
      <c r="P25" s="77">
        <f t="shared" si="1"/>
        <v>-0.34793915106526563</v>
      </c>
      <c r="Q25" s="49" t="s">
        <v>34</v>
      </c>
    </row>
    <row r="26" spans="1:17">
      <c r="A26" s="49" t="s">
        <v>35</v>
      </c>
      <c r="B26" s="50">
        <v>12484.4</v>
      </c>
      <c r="C26" s="19">
        <v>11285.13</v>
      </c>
      <c r="D26" s="19">
        <v>22868.34</v>
      </c>
      <c r="E26" s="19">
        <v>10783.74</v>
      </c>
      <c r="F26" s="19">
        <v>20414.259999999998</v>
      </c>
      <c r="G26" s="19">
        <v>11690.14</v>
      </c>
      <c r="H26" s="19">
        <v>22495.59</v>
      </c>
      <c r="I26" s="19">
        <v>32524.13</v>
      </c>
      <c r="J26" s="19">
        <v>18343.37</v>
      </c>
      <c r="K26" s="19">
        <v>31709.72</v>
      </c>
      <c r="L26" s="19">
        <v>41479.699999999997</v>
      </c>
      <c r="M26" s="51">
        <v>10419.629999999999</v>
      </c>
      <c r="N26" s="60">
        <f t="shared" si="0"/>
        <v>246498.14999999997</v>
      </c>
      <c r="O26" s="19">
        <f>SUM('TRT 2008'!B26:M26)</f>
        <v>230905.73000000004</v>
      </c>
      <c r="P26" s="77">
        <f t="shared" si="1"/>
        <v>6.7527211212991212E-2</v>
      </c>
      <c r="Q26" s="49" t="s">
        <v>35</v>
      </c>
    </row>
    <row r="27" spans="1:17">
      <c r="A27" s="49" t="s">
        <v>36</v>
      </c>
      <c r="B27" s="50">
        <v>49003.4</v>
      </c>
      <c r="C27" s="19">
        <v>76535.77</v>
      </c>
      <c r="D27" s="19">
        <v>48712.639999999999</v>
      </c>
      <c r="E27" s="19">
        <v>14883.96</v>
      </c>
      <c r="F27" s="19">
        <v>53199.25</v>
      </c>
      <c r="G27" s="19">
        <v>37184.47</v>
      </c>
      <c r="H27" s="19">
        <v>49051.79</v>
      </c>
      <c r="I27" s="19">
        <v>66952.86</v>
      </c>
      <c r="J27" s="19">
        <v>37543.599999999999</v>
      </c>
      <c r="K27" s="19">
        <v>46831.53</v>
      </c>
      <c r="L27" s="19">
        <v>49328.99</v>
      </c>
      <c r="M27" s="51">
        <v>50421.4</v>
      </c>
      <c r="N27" s="60">
        <f t="shared" si="0"/>
        <v>579649.65999999992</v>
      </c>
      <c r="O27" s="19">
        <f>SUM('TRT 2008'!B27:M27)</f>
        <v>853161.58999999973</v>
      </c>
      <c r="P27" s="77">
        <f t="shared" si="1"/>
        <v>-0.32058631472145849</v>
      </c>
      <c r="Q27" s="49" t="s">
        <v>36</v>
      </c>
    </row>
    <row r="28" spans="1:17">
      <c r="A28" s="147" t="s">
        <v>37</v>
      </c>
      <c r="B28" s="111">
        <v>99841.64</v>
      </c>
      <c r="C28" s="111">
        <v>107223.12</v>
      </c>
      <c r="D28" s="111">
        <v>169801.2</v>
      </c>
      <c r="E28" s="111">
        <v>85452.41</v>
      </c>
      <c r="F28" s="111">
        <v>168273.49</v>
      </c>
      <c r="G28" s="111">
        <v>145958</v>
      </c>
      <c r="H28" s="111">
        <v>163130</v>
      </c>
      <c r="I28" s="111">
        <v>220028</v>
      </c>
      <c r="J28" s="111">
        <v>66780</v>
      </c>
      <c r="K28" s="111">
        <v>213640</v>
      </c>
      <c r="L28" s="111">
        <v>160165</v>
      </c>
      <c r="M28" s="119">
        <v>163965</v>
      </c>
      <c r="N28" s="60">
        <f t="shared" si="0"/>
        <v>1764257.8599999999</v>
      </c>
      <c r="O28" s="19">
        <f>SUM('TRT 2008'!B28:M28)</f>
        <v>1925020</v>
      </c>
      <c r="P28" s="77">
        <f t="shared" si="1"/>
        <v>-8.3511932343560136E-2</v>
      </c>
      <c r="Q28" s="49" t="s">
        <v>37</v>
      </c>
    </row>
    <row r="29" spans="1:17">
      <c r="A29" s="49" t="s">
        <v>38</v>
      </c>
      <c r="B29" s="50">
        <v>22375.61</v>
      </c>
      <c r="C29" s="19">
        <v>43410.2</v>
      </c>
      <c r="D29" s="19">
        <v>41121.19</v>
      </c>
      <c r="E29" s="19">
        <v>30989.82</v>
      </c>
      <c r="F29" s="19">
        <v>23283.38</v>
      </c>
      <c r="G29" s="19">
        <v>21995.279999999999</v>
      </c>
      <c r="H29" s="19">
        <v>10075.040000000001</v>
      </c>
      <c r="I29" s="19">
        <v>42950.97</v>
      </c>
      <c r="J29" s="19">
        <v>22143.05</v>
      </c>
      <c r="K29" s="19">
        <v>53631.37</v>
      </c>
      <c r="L29" s="19">
        <v>44129.86</v>
      </c>
      <c r="M29" s="51">
        <v>28943.3</v>
      </c>
      <c r="N29" s="60">
        <f>SUM(B29:M29)</f>
        <v>385049.07</v>
      </c>
      <c r="O29" s="19">
        <f>SUM('TRT 2008'!B29:M29)</f>
        <v>1023120.3</v>
      </c>
      <c r="P29" s="77">
        <f t="shared" si="1"/>
        <v>-0.62365220394903709</v>
      </c>
      <c r="Q29" s="49" t="s">
        <v>38</v>
      </c>
    </row>
    <row r="30" spans="1:17">
      <c r="A30" s="49" t="s">
        <v>39</v>
      </c>
      <c r="B30" s="50">
        <v>159136.74</v>
      </c>
      <c r="C30" s="19">
        <v>174103.15</v>
      </c>
      <c r="D30" s="19">
        <v>134161.97</v>
      </c>
      <c r="E30" s="19">
        <v>4682.76</v>
      </c>
      <c r="F30" s="19">
        <v>229238.32</v>
      </c>
      <c r="G30" s="19">
        <v>386103.4</v>
      </c>
      <c r="H30" s="19">
        <v>271836.76</v>
      </c>
      <c r="I30" s="19">
        <v>348174.93</v>
      </c>
      <c r="J30" s="19">
        <v>240982.42</v>
      </c>
      <c r="K30" s="19">
        <v>249420.26</v>
      </c>
      <c r="L30" s="19">
        <v>343881.62</v>
      </c>
      <c r="M30" s="51">
        <v>348564.79</v>
      </c>
      <c r="N30" s="60">
        <f t="shared" si="0"/>
        <v>2890287.12</v>
      </c>
      <c r="O30" s="19">
        <f>SUM('TRT 2008'!B30:M30)</f>
        <v>2724069.56</v>
      </c>
      <c r="P30" s="77">
        <f t="shared" si="1"/>
        <v>6.1018104104507476E-2</v>
      </c>
      <c r="Q30" s="49" t="s">
        <v>39</v>
      </c>
    </row>
    <row r="31" spans="1:17">
      <c r="A31" s="49" t="s">
        <v>40</v>
      </c>
      <c r="B31" s="50">
        <v>3560.94</v>
      </c>
      <c r="C31" s="19">
        <v>10917.95</v>
      </c>
      <c r="D31" s="19">
        <v>2843.25</v>
      </c>
      <c r="E31" s="19">
        <v>7469.85</v>
      </c>
      <c r="F31" s="19">
        <v>6189.13</v>
      </c>
      <c r="G31" s="19">
        <v>11141.28</v>
      </c>
      <c r="H31" s="19">
        <v>16516.310000000001</v>
      </c>
      <c r="I31" s="19">
        <v>33234.25</v>
      </c>
      <c r="J31" s="19">
        <v>13446.3</v>
      </c>
      <c r="K31" s="19">
        <v>25988.15</v>
      </c>
      <c r="L31" s="19">
        <v>45221.65</v>
      </c>
      <c r="M31" s="51">
        <v>12418.23</v>
      </c>
      <c r="N31" s="60">
        <f t="shared" si="0"/>
        <v>188947.29</v>
      </c>
      <c r="O31" s="19">
        <f>SUM('TRT 2008'!B31:M31)</f>
        <v>204753.19</v>
      </c>
      <c r="P31" s="77">
        <f t="shared" si="1"/>
        <v>-7.7194890101590086E-2</v>
      </c>
      <c r="Q31" s="49" t="s">
        <v>40</v>
      </c>
    </row>
    <row r="32" spans="1:17" ht="13" thickBot="1">
      <c r="A32" s="53" t="s">
        <v>41</v>
      </c>
      <c r="B32" s="54">
        <v>58931.38</v>
      </c>
      <c r="C32" s="20">
        <v>65276.59</v>
      </c>
      <c r="D32" s="20">
        <v>76462.86</v>
      </c>
      <c r="E32" s="20">
        <v>66226.350000000006</v>
      </c>
      <c r="F32" s="20">
        <v>62323.75</v>
      </c>
      <c r="G32" s="20">
        <v>83308.570000000007</v>
      </c>
      <c r="H32" s="20">
        <v>48292.94</v>
      </c>
      <c r="I32" s="20">
        <v>140264.65</v>
      </c>
      <c r="J32" s="20">
        <v>101982.94</v>
      </c>
      <c r="K32" s="20">
        <v>81215.210000000006</v>
      </c>
      <c r="L32" s="20">
        <v>102695.49</v>
      </c>
      <c r="M32" s="55">
        <v>72845.78</v>
      </c>
      <c r="N32" s="61">
        <f t="shared" si="0"/>
        <v>959826.51</v>
      </c>
      <c r="O32" s="19">
        <f>SUM('TRT 2008'!B32:M32)</f>
        <v>993466.28</v>
      </c>
      <c r="P32" s="78">
        <f t="shared" si="1"/>
        <v>-3.3861008347459975E-2</v>
      </c>
      <c r="Q32" s="53" t="s">
        <v>41</v>
      </c>
    </row>
    <row r="33" spans="1:16" ht="14" thickTop="1" thickBot="1">
      <c r="A33" s="125" t="s">
        <v>54</v>
      </c>
      <c r="B33" s="126">
        <f t="shared" ref="B33:O33" si="2">SUM(B4:B32)</f>
        <v>1341435.98</v>
      </c>
      <c r="C33" s="127">
        <f t="shared" si="2"/>
        <v>2332160.8200000003</v>
      </c>
      <c r="D33" s="127">
        <f t="shared" si="2"/>
        <v>2532364.75</v>
      </c>
      <c r="E33" s="127">
        <f t="shared" si="2"/>
        <v>2380484.5699999998</v>
      </c>
      <c r="F33" s="127">
        <f t="shared" si="2"/>
        <v>2721387.32</v>
      </c>
      <c r="G33" s="127">
        <f t="shared" si="2"/>
        <v>2374928.0099999993</v>
      </c>
      <c r="H33" s="127">
        <f t="shared" si="2"/>
        <v>2173153.79</v>
      </c>
      <c r="I33" s="127">
        <f t="shared" si="2"/>
        <v>2828585.1</v>
      </c>
      <c r="J33" s="127">
        <f t="shared" si="2"/>
        <v>2507052.4899999998</v>
      </c>
      <c r="K33" s="127">
        <f t="shared" si="2"/>
        <v>2691801.5399999996</v>
      </c>
      <c r="L33" s="127">
        <f t="shared" si="2"/>
        <v>2596262.1799999997</v>
      </c>
      <c r="M33" s="128">
        <f t="shared" si="2"/>
        <v>2090418.4199999997</v>
      </c>
      <c r="N33" s="62">
        <f t="shared" si="2"/>
        <v>28570034.969999999</v>
      </c>
      <c r="O33" s="127">
        <f t="shared" si="2"/>
        <v>34146087.009999998</v>
      </c>
      <c r="P33" s="113">
        <f t="shared" si="1"/>
        <v>-0.16329988377195315</v>
      </c>
    </row>
    <row r="34" spans="1:16">
      <c r="B34" s="28">
        <f>B33/'TRT 2008'!B33-1</f>
        <v>-0.29776307101843991</v>
      </c>
      <c r="C34" s="28">
        <f>C33/'TRT 2008'!C33-1</f>
        <v>-9.5673524297576806E-2</v>
      </c>
      <c r="D34" s="28">
        <f>D33/'TRT 2008'!D33-1</f>
        <v>-0.17477740594594637</v>
      </c>
      <c r="E34" s="28">
        <f>E33/'TRT 2008'!E33-1</f>
        <v>-0.26490751363358367</v>
      </c>
      <c r="F34" s="28">
        <f>F33/'TRT 2008'!F33-1</f>
        <v>-0.33997977011835034</v>
      </c>
      <c r="G34" s="28">
        <f>G33/'TRT 2008'!G33-1</f>
        <v>2.7940298863029067E-2</v>
      </c>
      <c r="H34" s="28">
        <f>H33/'TRT 2008'!H33-1</f>
        <v>-0.22936244908261028</v>
      </c>
      <c r="I34" s="28">
        <f>I33/'TRT 2008'!I33-1</f>
        <v>-8.1243756559481906E-2</v>
      </c>
      <c r="J34" s="28">
        <f>J33/'TRT 2008'!J33-1</f>
        <v>-0.14281165846240884</v>
      </c>
      <c r="K34" s="28">
        <f>K33/'TRT 2008'!K33-1</f>
        <v>-6.1070338878768338E-2</v>
      </c>
      <c r="L34" s="28">
        <f>L33/'TRT 2008'!L33-1</f>
        <v>-0.15933988578771596</v>
      </c>
      <c r="M34" s="28">
        <f>M33/'TRT 2008'!M33-1</f>
        <v>-2.2121975118818415E-2</v>
      </c>
      <c r="N34" s="28"/>
    </row>
    <row r="35" spans="1:16">
      <c r="N35" s="116"/>
    </row>
    <row r="36" spans="1:16" ht="21">
      <c r="A36" s="691" t="s">
        <v>102</v>
      </c>
      <c r="B36" s="691"/>
      <c r="C36" s="691"/>
      <c r="D36" s="691"/>
      <c r="E36" s="691"/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</row>
    <row r="37" spans="1:16" ht="13" thickBot="1"/>
    <row r="38" spans="1:16" ht="13" thickBot="1">
      <c r="A38" s="129" t="s">
        <v>42</v>
      </c>
      <c r="B38" s="130" t="s">
        <v>2</v>
      </c>
      <c r="C38" s="131" t="s">
        <v>3</v>
      </c>
      <c r="D38" s="131" t="s">
        <v>4</v>
      </c>
      <c r="E38" s="131" t="s">
        <v>5</v>
      </c>
      <c r="F38" s="131" t="s">
        <v>6</v>
      </c>
      <c r="G38" s="131" t="s">
        <v>7</v>
      </c>
      <c r="H38" s="131" t="s">
        <v>8</v>
      </c>
      <c r="I38" s="131" t="s">
        <v>9</v>
      </c>
      <c r="J38" s="131" t="s">
        <v>10</v>
      </c>
      <c r="K38" s="131" t="s">
        <v>11</v>
      </c>
      <c r="L38" s="131" t="s">
        <v>12</v>
      </c>
      <c r="M38" s="132" t="s">
        <v>13</v>
      </c>
      <c r="N38" s="29" t="s">
        <v>100</v>
      </c>
      <c r="O38" s="131" t="s">
        <v>92</v>
      </c>
      <c r="P38" s="135" t="s">
        <v>16</v>
      </c>
    </row>
    <row r="39" spans="1:16" ht="13" thickBot="1">
      <c r="A39" s="40" t="s">
        <v>31</v>
      </c>
      <c r="B39" s="41">
        <v>85764.43</v>
      </c>
      <c r="C39" s="42">
        <v>108871.97</v>
      </c>
      <c r="D39" s="42">
        <v>139508.72</v>
      </c>
      <c r="E39" s="42">
        <v>163400.66</v>
      </c>
      <c r="F39" s="42">
        <v>142348.88</v>
      </c>
      <c r="G39" s="42">
        <v>123796.1</v>
      </c>
      <c r="H39" s="42">
        <v>95941.119999999995</v>
      </c>
      <c r="I39" s="42">
        <v>114467.98</v>
      </c>
      <c r="J39" s="42">
        <v>127554.05</v>
      </c>
      <c r="K39" s="42">
        <v>125951.97</v>
      </c>
      <c r="L39" s="42">
        <v>122953.96</v>
      </c>
      <c r="M39" s="43">
        <v>118968.13</v>
      </c>
      <c r="N39" s="46">
        <f>SUM(B39:M39)</f>
        <v>1469527.9699999997</v>
      </c>
      <c r="O39" s="141">
        <f>SUM('TRT 2008'!B39:M39)</f>
        <v>1792479.77</v>
      </c>
      <c r="P39" s="115">
        <f>N39/O39-1</f>
        <v>-0.18017040158840969</v>
      </c>
    </row>
    <row r="40" spans="1:16">
      <c r="B40" s="28">
        <f>B39/'TRT 2008'!B39-1</f>
        <v>-0.29475933589759284</v>
      </c>
      <c r="C40" s="28">
        <f>C39/'TRT 2008'!C39-1</f>
        <v>-7.8846581446358144E-2</v>
      </c>
      <c r="D40" s="28">
        <f>D39/'TRT 2008'!D39-1</f>
        <v>-0.12367088970174767</v>
      </c>
      <c r="E40" s="28">
        <f>E39/'TRT 2008'!E39-1</f>
        <v>-6.9275737113266067E-2</v>
      </c>
      <c r="F40" s="28">
        <f>F39/'TRT 2008'!F39-1</f>
        <v>-0.24932677502918998</v>
      </c>
      <c r="G40" s="28">
        <f>G39/'TRT 2008'!G39-1</f>
        <v>-6.073474404594803E-2</v>
      </c>
      <c r="H40" s="28">
        <f>H39/'TRT 2008'!H39-1</f>
        <v>-0.36175701174316133</v>
      </c>
      <c r="I40" s="28">
        <f>I39/'TRT 2008'!I39-1</f>
        <v>-0.21437922097602624</v>
      </c>
      <c r="J40" s="28">
        <f>J39/'TRT 2008'!J39-1</f>
        <v>-0.24591634246926974</v>
      </c>
      <c r="K40" s="28">
        <f>K39/'TRT 2008'!K39-1</f>
        <v>-0.13309516938174437</v>
      </c>
      <c r="L40" s="28">
        <f>L39/'TRT 2008'!L39-1</f>
        <v>-0.23492026315157399</v>
      </c>
      <c r="M40" s="28">
        <f>M39/'TRT 2008'!M39-1</f>
        <v>-5.0666419188633793E-2</v>
      </c>
      <c r="N40" s="28"/>
    </row>
    <row r="41" spans="1:16">
      <c r="N41" s="100"/>
    </row>
    <row r="42" spans="1:16">
      <c r="N42" s="100"/>
    </row>
    <row r="43" spans="1:16">
      <c r="H43" s="100"/>
      <c r="J43" s="100"/>
      <c r="N43" s="100"/>
    </row>
    <row r="44" spans="1:16">
      <c r="H44" s="100"/>
    </row>
    <row r="45" spans="1:16">
      <c r="H45" s="100"/>
    </row>
  </sheetData>
  <mergeCells count="2">
    <mergeCell ref="A1:P1"/>
    <mergeCell ref="A36:P36"/>
  </mergeCells>
  <phoneticPr fontId="0" type="noConversion"/>
  <printOptions horizontalCentered="1"/>
  <pageMargins left="0" right="0" top="1" bottom="1" header="0.5" footer="0.5"/>
  <pageSetup scale="78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 enableFormatConditionsCalculation="0">
    <tabColor rgb="FF0070C0"/>
    <pageSetUpPr fitToPage="1"/>
  </sheetPr>
  <dimension ref="A1:P45"/>
  <sheetViews>
    <sheetView workbookViewId="0">
      <selection activeCell="B30" sqref="B30:M30"/>
    </sheetView>
  </sheetViews>
  <sheetFormatPr baseColWidth="10" defaultColWidth="8.83203125" defaultRowHeight="12" x14ac:dyDescent="0"/>
  <cols>
    <col min="1" max="1" width="11.33203125" bestFit="1" customWidth="1"/>
    <col min="2" max="6" width="9.5" bestFit="1" customWidth="1"/>
    <col min="8" max="8" width="10.1640625" bestFit="1" customWidth="1"/>
    <col min="14" max="14" width="11.1640625" bestFit="1" customWidth="1"/>
    <col min="15" max="15" width="9.5" bestFit="1" customWidth="1"/>
    <col min="16" max="16" width="10.1640625" bestFit="1" customWidth="1"/>
  </cols>
  <sheetData>
    <row r="1" spans="1:16" ht="21">
      <c r="A1" s="691" t="s">
        <v>91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16" ht="13" thickBot="1"/>
    <row r="3" spans="1:16" ht="13" thickBot="1">
      <c r="A3" s="129" t="s">
        <v>42</v>
      </c>
      <c r="B3" s="130" t="s">
        <v>2</v>
      </c>
      <c r="C3" s="131" t="s">
        <v>3</v>
      </c>
      <c r="D3" s="131" t="s">
        <v>4</v>
      </c>
      <c r="E3" s="131" t="s">
        <v>5</v>
      </c>
      <c r="F3" s="131" t="s">
        <v>6</v>
      </c>
      <c r="G3" s="131" t="s">
        <v>7</v>
      </c>
      <c r="H3" s="131" t="s">
        <v>8</v>
      </c>
      <c r="I3" s="131" t="s">
        <v>9</v>
      </c>
      <c r="J3" s="131" t="s">
        <v>10</v>
      </c>
      <c r="K3" s="131" t="s">
        <v>11</v>
      </c>
      <c r="L3" s="131" t="s">
        <v>12</v>
      </c>
      <c r="M3" s="132" t="s">
        <v>13</v>
      </c>
      <c r="N3" s="133" t="s">
        <v>92</v>
      </c>
      <c r="O3" s="131" t="s">
        <v>87</v>
      </c>
      <c r="P3" s="131" t="s">
        <v>16</v>
      </c>
    </row>
    <row r="4" spans="1:16">
      <c r="A4" s="49" t="s">
        <v>17</v>
      </c>
      <c r="B4" s="50">
        <v>6235.37</v>
      </c>
      <c r="C4" s="19">
        <v>23870.2</v>
      </c>
      <c r="D4" s="19">
        <v>3796.32</v>
      </c>
      <c r="E4" s="19">
        <v>2785.8</v>
      </c>
      <c r="F4" s="19">
        <v>19628.849999999999</v>
      </c>
      <c r="G4" s="19">
        <v>5703.96</v>
      </c>
      <c r="H4" s="19">
        <v>16869.61</v>
      </c>
      <c r="I4" s="19">
        <v>28547.3</v>
      </c>
      <c r="J4" s="19">
        <v>11008.75</v>
      </c>
      <c r="K4" s="19">
        <v>10610.61</v>
      </c>
      <c r="L4" s="19">
        <v>35866.26</v>
      </c>
      <c r="M4" s="51">
        <v>7559.97</v>
      </c>
      <c r="N4" s="106">
        <f>SUM(B4:M4)</f>
        <v>172483</v>
      </c>
      <c r="O4" s="19">
        <f>SUM('TRT 2007'!B4:M4)</f>
        <v>166697.32999999999</v>
      </c>
      <c r="P4" s="77">
        <f>N4/O4-1</f>
        <v>3.4707634489406614E-2</v>
      </c>
    </row>
    <row r="5" spans="1:16">
      <c r="A5" s="49" t="s">
        <v>18</v>
      </c>
      <c r="B5" s="50">
        <v>7164.05</v>
      </c>
      <c r="C5" s="19">
        <v>16653.98</v>
      </c>
      <c r="D5" s="19">
        <v>10650.84</v>
      </c>
      <c r="E5" s="19">
        <v>8694.27</v>
      </c>
      <c r="F5" s="19">
        <v>24432.799999999999</v>
      </c>
      <c r="G5" s="19">
        <v>10512.09</v>
      </c>
      <c r="H5" s="19">
        <v>11738.34</v>
      </c>
      <c r="I5" s="19">
        <v>38776.21</v>
      </c>
      <c r="J5" s="19">
        <v>14032.76</v>
      </c>
      <c r="K5" s="19">
        <v>12660.85</v>
      </c>
      <c r="L5" s="19">
        <v>48822.73</v>
      </c>
      <c r="M5" s="51">
        <v>2465.7199999999998</v>
      </c>
      <c r="N5" s="60">
        <f t="shared" ref="N5:N32" si="0">SUM(B5:M5)</f>
        <v>206604.64</v>
      </c>
      <c r="O5" s="19">
        <f>SUM('TRT 2007'!B5:M5)</f>
        <v>136343.28999999998</v>
      </c>
      <c r="P5" s="77">
        <f t="shared" ref="P5:P31" si="1">N5/O5-1</f>
        <v>0.51532679019260907</v>
      </c>
    </row>
    <row r="6" spans="1:16">
      <c r="A6" s="49" t="s">
        <v>19</v>
      </c>
      <c r="B6" s="50">
        <v>17683.7</v>
      </c>
      <c r="C6" s="19">
        <v>22475</v>
      </c>
      <c r="D6" s="19">
        <v>14021.7</v>
      </c>
      <c r="E6" s="19">
        <v>15901.18</v>
      </c>
      <c r="F6" s="19">
        <v>21983.29</v>
      </c>
      <c r="G6" s="19">
        <v>17795.71</v>
      </c>
      <c r="H6" s="19">
        <v>33390.080000000002</v>
      </c>
      <c r="I6" s="19">
        <v>39629.99</v>
      </c>
      <c r="J6" s="19">
        <v>33785.31</v>
      </c>
      <c r="K6" s="19">
        <v>36836.699999999997</v>
      </c>
      <c r="L6" s="19">
        <v>37510.269999999997</v>
      </c>
      <c r="M6" s="51">
        <v>23500.29</v>
      </c>
      <c r="N6" s="60">
        <f t="shared" si="0"/>
        <v>314513.21999999997</v>
      </c>
      <c r="O6" s="19">
        <f>SUM('TRT 2007'!B6:M6)</f>
        <v>316662.39</v>
      </c>
      <c r="P6" s="77">
        <f t="shared" si="1"/>
        <v>-6.7869442910477584E-3</v>
      </c>
    </row>
    <row r="7" spans="1:16">
      <c r="A7" s="49" t="s">
        <v>20</v>
      </c>
      <c r="B7" s="50">
        <v>16191.87</v>
      </c>
      <c r="C7" s="19">
        <v>19250.54</v>
      </c>
      <c r="D7" s="19">
        <v>12438.75</v>
      </c>
      <c r="E7" s="19">
        <v>9784.48</v>
      </c>
      <c r="F7" s="19">
        <v>16671.7</v>
      </c>
      <c r="G7" s="19">
        <v>20526.099999999999</v>
      </c>
      <c r="H7" s="19">
        <v>16244.97</v>
      </c>
      <c r="I7" s="19">
        <v>39002.46</v>
      </c>
      <c r="J7" s="19">
        <v>15406.6</v>
      </c>
      <c r="K7" s="19">
        <v>28306.05</v>
      </c>
      <c r="L7" s="19">
        <v>19883.419999999998</v>
      </c>
      <c r="M7" s="51">
        <v>35968.339999999997</v>
      </c>
      <c r="N7" s="60">
        <f t="shared" si="0"/>
        <v>249675.28</v>
      </c>
      <c r="O7" s="19">
        <f>SUM('TRT 2007'!B7:M7)</f>
        <v>249763.72999999998</v>
      </c>
      <c r="P7" s="77">
        <f t="shared" si="1"/>
        <v>-3.5413468560863137E-4</v>
      </c>
    </row>
    <row r="8" spans="1:16">
      <c r="A8" s="49" t="s">
        <v>21</v>
      </c>
      <c r="B8" s="50">
        <v>1998.66</v>
      </c>
      <c r="C8" s="19">
        <v>2386.4299999999998</v>
      </c>
      <c r="D8" s="19">
        <v>1756.41</v>
      </c>
      <c r="E8" s="19">
        <v>675.51</v>
      </c>
      <c r="F8" s="19">
        <v>2221.9</v>
      </c>
      <c r="G8" s="19">
        <v>4985.7</v>
      </c>
      <c r="H8" s="19">
        <v>7514.12</v>
      </c>
      <c r="I8" s="19">
        <v>15064.52</v>
      </c>
      <c r="J8" s="19">
        <v>11600.7</v>
      </c>
      <c r="K8" s="19">
        <v>7519.28</v>
      </c>
      <c r="L8" s="19">
        <v>12265.36</v>
      </c>
      <c r="M8" s="51">
        <v>4185.49</v>
      </c>
      <c r="N8" s="60">
        <f t="shared" si="0"/>
        <v>72174.080000000002</v>
      </c>
      <c r="O8" s="19">
        <f>SUM('TRT 2007'!B8:M8)</f>
        <v>68617.06</v>
      </c>
      <c r="P8" s="77">
        <f t="shared" si="1"/>
        <v>5.183871183055655E-2</v>
      </c>
    </row>
    <row r="9" spans="1:16">
      <c r="A9" s="49" t="s">
        <v>22</v>
      </c>
      <c r="B9" s="111">
        <v>49665</v>
      </c>
      <c r="C9" s="111">
        <v>52625</v>
      </c>
      <c r="D9" s="111">
        <v>100314</v>
      </c>
      <c r="E9" s="111">
        <v>90127</v>
      </c>
      <c r="F9" s="111">
        <v>102471</v>
      </c>
      <c r="G9" s="111">
        <v>94372</v>
      </c>
      <c r="H9" s="111">
        <v>128731</v>
      </c>
      <c r="I9" s="19">
        <v>123041</v>
      </c>
      <c r="J9" s="19">
        <v>116107</v>
      </c>
      <c r="K9" s="19">
        <v>90229</v>
      </c>
      <c r="L9" s="19">
        <v>58806</v>
      </c>
      <c r="M9" s="51">
        <v>99130</v>
      </c>
      <c r="N9" s="60">
        <f>SUM(B9:M9)</f>
        <v>1105618</v>
      </c>
      <c r="O9" s="19">
        <f>SUM('TRT 2007'!B9:M9)</f>
        <v>958285.50999999989</v>
      </c>
      <c r="P9" s="77">
        <f t="shared" si="1"/>
        <v>0.15374592275740473</v>
      </c>
    </row>
    <row r="10" spans="1:16">
      <c r="A10" s="49" t="s">
        <v>23</v>
      </c>
      <c r="B10" s="50">
        <v>5683</v>
      </c>
      <c r="C10" s="19">
        <v>4875</v>
      </c>
      <c r="D10" s="19">
        <v>5379</v>
      </c>
      <c r="E10" s="19">
        <v>5414</v>
      </c>
      <c r="F10" s="19">
        <v>6106</v>
      </c>
      <c r="G10" s="19">
        <v>10784</v>
      </c>
      <c r="H10" s="111">
        <v>16072</v>
      </c>
      <c r="I10" s="19">
        <v>13124</v>
      </c>
      <c r="J10" s="19">
        <v>9565</v>
      </c>
      <c r="K10" s="19">
        <v>1316</v>
      </c>
      <c r="L10" s="19">
        <v>4978</v>
      </c>
      <c r="M10" s="51">
        <v>4613</v>
      </c>
      <c r="N10" s="60">
        <f>SUM(B10:M10)</f>
        <v>87909</v>
      </c>
      <c r="O10" s="19">
        <f>SUM('TRT 2007'!B10:M10)</f>
        <v>85103</v>
      </c>
      <c r="P10" s="77">
        <f t="shared" si="1"/>
        <v>3.297181062947252E-2</v>
      </c>
    </row>
    <row r="11" spans="1:16">
      <c r="A11" s="49" t="s">
        <v>51</v>
      </c>
      <c r="B11" s="50">
        <v>17360</v>
      </c>
      <c r="C11" s="19">
        <v>11029</v>
      </c>
      <c r="D11" s="19">
        <v>6958</v>
      </c>
      <c r="E11" s="19">
        <v>24381</v>
      </c>
      <c r="F11" s="19">
        <v>16030</v>
      </c>
      <c r="G11" s="19">
        <v>21580</v>
      </c>
      <c r="H11" s="111">
        <v>55930</v>
      </c>
      <c r="I11" s="19">
        <v>23011</v>
      </c>
      <c r="J11" s="19">
        <v>17505</v>
      </c>
      <c r="K11" s="19">
        <v>54260</v>
      </c>
      <c r="L11" s="19">
        <v>26007</v>
      </c>
      <c r="M11" s="51">
        <v>7816</v>
      </c>
      <c r="N11" s="60">
        <f t="shared" si="0"/>
        <v>281867</v>
      </c>
      <c r="O11" s="19">
        <f>SUM('TRT 2007'!B11:M11)</f>
        <v>246722.26</v>
      </c>
      <c r="P11" s="77">
        <f t="shared" si="1"/>
        <v>0.14244657129843086</v>
      </c>
    </row>
    <row r="12" spans="1:16">
      <c r="A12" s="49" t="s">
        <v>24</v>
      </c>
      <c r="B12" s="50">
        <v>31886</v>
      </c>
      <c r="C12" s="19">
        <v>16833</v>
      </c>
      <c r="D12" s="19">
        <v>5539</v>
      </c>
      <c r="E12" s="19">
        <v>19155</v>
      </c>
      <c r="F12" s="19">
        <v>62079</v>
      </c>
      <c r="G12" s="19">
        <v>68240</v>
      </c>
      <c r="H12" s="19">
        <v>151860</v>
      </c>
      <c r="I12" s="19">
        <v>145857</v>
      </c>
      <c r="J12" s="19">
        <v>120581</v>
      </c>
      <c r="K12" s="19">
        <v>204054</v>
      </c>
      <c r="L12" s="19">
        <v>166485</v>
      </c>
      <c r="M12" s="51">
        <v>77138</v>
      </c>
      <c r="N12" s="60">
        <f t="shared" si="0"/>
        <v>1069707</v>
      </c>
      <c r="O12" s="19">
        <f>SUM('TRT 2007'!B12:M12)</f>
        <v>975696.82000000007</v>
      </c>
      <c r="P12" s="77">
        <f t="shared" si="1"/>
        <v>9.635183601397812E-2</v>
      </c>
    </row>
    <row r="13" spans="1:16">
      <c r="A13" s="49" t="s">
        <v>25</v>
      </c>
      <c r="B13" s="50">
        <v>18745</v>
      </c>
      <c r="C13" s="19">
        <v>27855</v>
      </c>
      <c r="D13" s="19">
        <v>146331</v>
      </c>
      <c r="E13" s="111">
        <v>161536</v>
      </c>
      <c r="F13" s="19">
        <v>208292</v>
      </c>
      <c r="G13" s="19">
        <v>173175</v>
      </c>
      <c r="H13" s="111">
        <v>158009</v>
      </c>
      <c r="I13" s="111">
        <v>178839</v>
      </c>
      <c r="J13" s="111">
        <v>185718</v>
      </c>
      <c r="K13" s="111">
        <v>158006</v>
      </c>
      <c r="L13" s="111">
        <v>56875</v>
      </c>
      <c r="M13" s="119">
        <v>19414</v>
      </c>
      <c r="N13" s="60">
        <f t="shared" si="0"/>
        <v>1492795</v>
      </c>
      <c r="O13" s="19">
        <f>SUM('TRT 2007'!B13:M13)</f>
        <v>1269029.6899999997</v>
      </c>
      <c r="P13" s="77">
        <f t="shared" si="1"/>
        <v>0.1763278761429139</v>
      </c>
    </row>
    <row r="14" spans="1:16">
      <c r="A14" s="49" t="s">
        <v>26</v>
      </c>
      <c r="B14" s="50">
        <v>42299.040000000001</v>
      </c>
      <c r="C14" s="19">
        <v>80851.72</v>
      </c>
      <c r="D14" s="19">
        <v>46506.8</v>
      </c>
      <c r="E14" s="19">
        <v>31686.720000000001</v>
      </c>
      <c r="F14" s="19">
        <v>99518.27</v>
      </c>
      <c r="G14" s="19">
        <v>49670.52</v>
      </c>
      <c r="H14" s="19">
        <v>57084.66</v>
      </c>
      <c r="I14" s="19">
        <v>102167.81</v>
      </c>
      <c r="J14" s="19">
        <v>87029.55</v>
      </c>
      <c r="K14" s="19">
        <v>83851.649999999994</v>
      </c>
      <c r="L14" s="19">
        <v>112968.4</v>
      </c>
      <c r="M14" s="51">
        <v>44527</v>
      </c>
      <c r="N14" s="60">
        <f t="shared" si="0"/>
        <v>838162.14</v>
      </c>
      <c r="O14" s="19">
        <f>SUM('TRT 2007'!B14:M14)</f>
        <v>882708.76</v>
      </c>
      <c r="P14" s="77">
        <f t="shared" si="1"/>
        <v>-5.0465818420109443E-2</v>
      </c>
    </row>
    <row r="15" spans="1:16">
      <c r="A15" s="49" t="s">
        <v>27</v>
      </c>
      <c r="B15" s="120"/>
      <c r="C15" s="19">
        <v>15951.37</v>
      </c>
      <c r="D15" s="111"/>
      <c r="E15" s="19">
        <v>77.31</v>
      </c>
      <c r="F15" s="19">
        <v>13094.64</v>
      </c>
      <c r="G15" s="19">
        <v>134.71</v>
      </c>
      <c r="H15" s="19"/>
      <c r="I15" s="19">
        <v>18941.95</v>
      </c>
      <c r="J15" s="19">
        <v>4219.78</v>
      </c>
      <c r="K15" s="19">
        <v>2423.58</v>
      </c>
      <c r="L15" s="19">
        <v>17682.91</v>
      </c>
      <c r="M15" s="51">
        <v>2359.06</v>
      </c>
      <c r="N15" s="60">
        <f t="shared" si="0"/>
        <v>74885.31</v>
      </c>
      <c r="O15" s="19">
        <f>SUM('TRT 2007'!B15:M15)</f>
        <v>70505.889999999985</v>
      </c>
      <c r="P15" s="77">
        <f t="shared" si="1"/>
        <v>6.2114243221382148E-2</v>
      </c>
    </row>
    <row r="16" spans="1:16">
      <c r="A16" s="49" t="s">
        <v>28</v>
      </c>
      <c r="B16" s="50">
        <v>26343.13</v>
      </c>
      <c r="C16" s="19">
        <v>31757.13</v>
      </c>
      <c r="D16" s="19">
        <v>6340.04</v>
      </c>
      <c r="E16" s="19">
        <v>17083.96</v>
      </c>
      <c r="F16" s="19">
        <v>36521.449999999997</v>
      </c>
      <c r="G16" s="19">
        <v>27579.72</v>
      </c>
      <c r="H16" s="19">
        <v>68167.48</v>
      </c>
      <c r="I16" s="19">
        <v>119823.92</v>
      </c>
      <c r="J16" s="19">
        <v>87226.04</v>
      </c>
      <c r="K16" s="19">
        <v>85618.98</v>
      </c>
      <c r="L16" s="19">
        <v>140130.25</v>
      </c>
      <c r="M16" s="51">
        <v>49095.89</v>
      </c>
      <c r="N16" s="60">
        <f t="shared" si="0"/>
        <v>695687.98999999987</v>
      </c>
      <c r="O16" s="19">
        <f>SUM('TRT 2007'!B16:M16)</f>
        <v>593151.98</v>
      </c>
      <c r="P16" s="77">
        <f t="shared" si="1"/>
        <v>0.1728663368872172</v>
      </c>
    </row>
    <row r="17" spans="1:16">
      <c r="A17" s="49" t="s">
        <v>52</v>
      </c>
      <c r="B17" s="50">
        <v>8117.62</v>
      </c>
      <c r="C17" s="19">
        <v>8083.3</v>
      </c>
      <c r="D17" s="19">
        <v>4190.95</v>
      </c>
      <c r="E17" s="19">
        <v>237.22</v>
      </c>
      <c r="F17" s="19">
        <v>17065.53</v>
      </c>
      <c r="G17" s="19">
        <v>2782.97</v>
      </c>
      <c r="H17" s="19">
        <v>3634.77</v>
      </c>
      <c r="I17" s="19">
        <v>22526.76</v>
      </c>
      <c r="J17" s="19">
        <v>3535.14</v>
      </c>
      <c r="K17" s="19">
        <v>4805.2700000000004</v>
      </c>
      <c r="L17" s="19">
        <v>19277.62</v>
      </c>
      <c r="M17" s="51">
        <v>2394.2199999999998</v>
      </c>
      <c r="N17" s="60">
        <f t="shared" si="0"/>
        <v>96651.37</v>
      </c>
      <c r="O17" s="19">
        <f>SUM('TRT 2007'!B17:M17)</f>
        <v>91852.28</v>
      </c>
      <c r="P17" s="77">
        <f t="shared" si="1"/>
        <v>5.2247913715369965E-2</v>
      </c>
    </row>
    <row r="18" spans="1:16">
      <c r="A18" s="49" t="s">
        <v>29</v>
      </c>
      <c r="B18" s="50"/>
      <c r="C18" s="19">
        <v>122.19</v>
      </c>
      <c r="D18" s="19"/>
      <c r="E18" s="19">
        <v>166.45</v>
      </c>
      <c r="F18" s="19">
        <v>45.36</v>
      </c>
      <c r="G18" s="19">
        <v>35.799999999999997</v>
      </c>
      <c r="H18" s="19"/>
      <c r="I18" s="19">
        <v>1014.3</v>
      </c>
      <c r="J18" s="19">
        <v>1170.8399999999999</v>
      </c>
      <c r="K18" s="19"/>
      <c r="L18" s="19">
        <v>642.9</v>
      </c>
      <c r="M18" s="51"/>
      <c r="N18" s="60">
        <f t="shared" si="0"/>
        <v>3197.8399999999997</v>
      </c>
      <c r="O18" s="19">
        <f>SUM('TRT 2007'!B18:M18)</f>
        <v>2326.64</v>
      </c>
      <c r="P18" s="77">
        <f t="shared" si="1"/>
        <v>0.37444555238455446</v>
      </c>
    </row>
    <row r="19" spans="1:16">
      <c r="A19" s="49" t="s">
        <v>53</v>
      </c>
      <c r="B19" s="50">
        <v>0</v>
      </c>
      <c r="C19" s="19">
        <v>600.08000000000004</v>
      </c>
      <c r="D19" s="19"/>
      <c r="E19" s="19">
        <v>128.01</v>
      </c>
      <c r="F19" s="19">
        <v>419.02</v>
      </c>
      <c r="G19" s="19">
        <v>264.33999999999997</v>
      </c>
      <c r="H19" s="19">
        <v>485.66</v>
      </c>
      <c r="I19" s="19">
        <v>3821.31</v>
      </c>
      <c r="J19" s="19">
        <v>991.85</v>
      </c>
      <c r="K19" s="19">
        <v>3521.7</v>
      </c>
      <c r="L19" s="19">
        <v>3653.78</v>
      </c>
      <c r="M19" s="51">
        <v>198.43</v>
      </c>
      <c r="N19" s="60">
        <f t="shared" si="0"/>
        <v>14084.180000000002</v>
      </c>
      <c r="O19" s="19">
        <f>SUM('TRT 2007'!B19:M19)</f>
        <v>14237.509999999998</v>
      </c>
      <c r="P19" s="77">
        <f t="shared" si="1"/>
        <v>-1.0769439319094132E-2</v>
      </c>
    </row>
    <row r="20" spans="1:16">
      <c r="A20" s="49" t="s">
        <v>30</v>
      </c>
      <c r="B20" s="120">
        <v>1789</v>
      </c>
      <c r="C20" s="111">
        <v>1789</v>
      </c>
      <c r="D20" s="111">
        <v>1789</v>
      </c>
      <c r="E20" s="19">
        <v>5097</v>
      </c>
      <c r="F20" s="19">
        <v>5097</v>
      </c>
      <c r="G20" s="19">
        <v>5097</v>
      </c>
      <c r="H20" s="19">
        <v>18347</v>
      </c>
      <c r="I20" s="19">
        <v>18347</v>
      </c>
      <c r="J20" s="19">
        <v>18347</v>
      </c>
      <c r="K20" s="148">
        <v>990</v>
      </c>
      <c r="L20" s="148">
        <v>990</v>
      </c>
      <c r="M20" s="149">
        <v>990</v>
      </c>
      <c r="N20" s="60">
        <f t="shared" si="0"/>
        <v>78669</v>
      </c>
      <c r="O20" s="19">
        <f>SUM('TRT 2007'!B20:M20)</f>
        <v>106623.28</v>
      </c>
      <c r="P20" s="77">
        <f t="shared" si="1"/>
        <v>-0.26217801590797052</v>
      </c>
    </row>
    <row r="21" spans="1:16">
      <c r="A21" s="49" t="s">
        <v>31</v>
      </c>
      <c r="B21" s="50">
        <v>878662.75</v>
      </c>
      <c r="C21" s="19">
        <v>853957.99</v>
      </c>
      <c r="D21" s="19">
        <v>1149733.32</v>
      </c>
      <c r="E21" s="19">
        <v>1268441.92</v>
      </c>
      <c r="F21" s="19">
        <v>1368484.73</v>
      </c>
      <c r="G21" s="19">
        <v>953098.34</v>
      </c>
      <c r="H21" s="19">
        <v>1086066.68</v>
      </c>
      <c r="I21" s="19">
        <v>1052709.96</v>
      </c>
      <c r="J21" s="19">
        <v>1221664.02</v>
      </c>
      <c r="K21" s="19">
        <v>1050256.8400000001</v>
      </c>
      <c r="L21" s="19">
        <v>1161449.72</v>
      </c>
      <c r="M21" s="51">
        <v>905419.53</v>
      </c>
      <c r="N21" s="60">
        <f t="shared" si="0"/>
        <v>12949945.799999999</v>
      </c>
      <c r="O21" s="19">
        <f>SUM('TRT 2007'!B21:M21)</f>
        <v>14069805.949999999</v>
      </c>
      <c r="P21" s="77">
        <f t="shared" si="1"/>
        <v>-7.9593148191215879E-2</v>
      </c>
    </row>
    <row r="22" spans="1:16">
      <c r="A22" s="49" t="s">
        <v>45</v>
      </c>
      <c r="B22" s="50">
        <v>13321.1</v>
      </c>
      <c r="C22" s="19">
        <v>45050.79</v>
      </c>
      <c r="D22" s="19">
        <v>5035.41</v>
      </c>
      <c r="E22" s="19">
        <v>7436.77</v>
      </c>
      <c r="F22" s="19">
        <v>38177.81</v>
      </c>
      <c r="G22" s="19">
        <v>34267.839999999997</v>
      </c>
      <c r="H22" s="19">
        <v>49935.19</v>
      </c>
      <c r="I22" s="19">
        <v>74650.17</v>
      </c>
      <c r="J22" s="19">
        <v>59247.07</v>
      </c>
      <c r="K22" s="19">
        <v>48318.85</v>
      </c>
      <c r="L22" s="19">
        <v>105134.8</v>
      </c>
      <c r="M22" s="51">
        <v>39705.64</v>
      </c>
      <c r="N22" s="60">
        <f t="shared" si="0"/>
        <v>520281.44</v>
      </c>
      <c r="O22" s="19">
        <f>SUM('TRT 2007'!B22:M22)</f>
        <v>413875.86</v>
      </c>
      <c r="P22" s="77">
        <f t="shared" si="1"/>
        <v>0.25709540053870272</v>
      </c>
    </row>
    <row r="23" spans="1:16">
      <c r="A23" s="49" t="s">
        <v>32</v>
      </c>
      <c r="B23" s="50">
        <v>405.51</v>
      </c>
      <c r="C23" s="19">
        <v>10715.03</v>
      </c>
      <c r="D23" s="19">
        <v>1903.41</v>
      </c>
      <c r="E23" s="19">
        <v>436.81</v>
      </c>
      <c r="F23" s="19">
        <v>10289.64</v>
      </c>
      <c r="G23" s="19">
        <v>793.8</v>
      </c>
      <c r="H23" s="19">
        <v>2460.65</v>
      </c>
      <c r="I23" s="19">
        <v>22924.44</v>
      </c>
      <c r="J23" s="19">
        <v>3025.72</v>
      </c>
      <c r="K23" s="19">
        <v>1068.7</v>
      </c>
      <c r="L23" s="19">
        <v>19568.72</v>
      </c>
      <c r="M23" s="51">
        <v>458.18</v>
      </c>
      <c r="N23" s="60">
        <f t="shared" si="0"/>
        <v>74050.609999999986</v>
      </c>
      <c r="O23" s="19">
        <f>SUM('TRT 2007'!B23:M23)</f>
        <v>68994.58</v>
      </c>
      <c r="P23" s="77">
        <f t="shared" si="1"/>
        <v>7.3281553420572854E-2</v>
      </c>
    </row>
    <row r="24" spans="1:16">
      <c r="A24" s="49" t="s">
        <v>33</v>
      </c>
      <c r="B24" s="50">
        <v>9977.02</v>
      </c>
      <c r="C24" s="19">
        <v>26341.09</v>
      </c>
      <c r="D24" s="19">
        <v>6151.06</v>
      </c>
      <c r="E24" s="19">
        <v>5519.32</v>
      </c>
      <c r="F24" s="19">
        <v>23474.78</v>
      </c>
      <c r="G24" s="19">
        <v>9034.01</v>
      </c>
      <c r="H24" s="19">
        <v>19027.37</v>
      </c>
      <c r="I24" s="19">
        <v>46354.92</v>
      </c>
      <c r="J24" s="19">
        <v>18203.240000000002</v>
      </c>
      <c r="K24" s="19">
        <v>20822.45</v>
      </c>
      <c r="L24" s="19">
        <v>48507.17</v>
      </c>
      <c r="M24" s="51">
        <v>12759.03</v>
      </c>
      <c r="N24" s="60">
        <f t="shared" si="0"/>
        <v>246171.46</v>
      </c>
      <c r="O24" s="19">
        <f>SUM('TRT 2007'!B24:M24)</f>
        <v>260107.22999999998</v>
      </c>
      <c r="P24" s="77">
        <f t="shared" si="1"/>
        <v>-5.3577018985592972E-2</v>
      </c>
    </row>
    <row r="25" spans="1:16">
      <c r="A25" s="49" t="s">
        <v>34</v>
      </c>
      <c r="B25" s="50">
        <v>241685.76000000001</v>
      </c>
      <c r="C25" s="19">
        <v>769217.86</v>
      </c>
      <c r="D25" s="19">
        <v>1077767.3700000001</v>
      </c>
      <c r="E25" s="19">
        <v>1038450.02</v>
      </c>
      <c r="F25" s="19">
        <v>1206052.43</v>
      </c>
      <c r="G25" s="19">
        <v>179771.3</v>
      </c>
      <c r="H25" s="19">
        <v>200729.78</v>
      </c>
      <c r="I25" s="19">
        <v>123180.45</v>
      </c>
      <c r="J25" s="19">
        <v>205403.17</v>
      </c>
      <c r="K25" s="19">
        <v>194505.13</v>
      </c>
      <c r="L25" s="19">
        <v>195935.61</v>
      </c>
      <c r="M25" s="51">
        <v>113758.12</v>
      </c>
      <c r="N25" s="60">
        <f t="shared" si="0"/>
        <v>5546457.0000000009</v>
      </c>
      <c r="O25" s="19">
        <f>SUM('TRT 2007'!B25:M25)</f>
        <v>5001500.8199999994</v>
      </c>
      <c r="P25" s="77">
        <f t="shared" si="1"/>
        <v>0.10895853057162985</v>
      </c>
    </row>
    <row r="26" spans="1:16">
      <c r="A26" s="49" t="s">
        <v>35</v>
      </c>
      <c r="B26" s="50">
        <v>12062.72</v>
      </c>
      <c r="C26" s="19">
        <v>17976.95</v>
      </c>
      <c r="D26" s="19">
        <v>12216.26</v>
      </c>
      <c r="E26" s="19">
        <v>8896.0400000000009</v>
      </c>
      <c r="F26" s="19">
        <v>19978.419999999998</v>
      </c>
      <c r="G26" s="19">
        <v>15349.27</v>
      </c>
      <c r="H26" s="19">
        <v>23564.87</v>
      </c>
      <c r="I26" s="19">
        <v>37384.730000000003</v>
      </c>
      <c r="J26" s="19">
        <v>6799.97</v>
      </c>
      <c r="K26" s="19">
        <v>22904.85</v>
      </c>
      <c r="L26" s="19">
        <v>36268.07</v>
      </c>
      <c r="M26" s="51">
        <v>17503.580000000002</v>
      </c>
      <c r="N26" s="60">
        <f t="shared" si="0"/>
        <v>230905.73000000004</v>
      </c>
      <c r="O26" s="19">
        <f>SUM('TRT 2007'!B26:M26)</f>
        <v>232831.61</v>
      </c>
      <c r="P26" s="77">
        <f t="shared" si="1"/>
        <v>-8.2715572855418529E-3</v>
      </c>
    </row>
    <row r="27" spans="1:16">
      <c r="A27" s="49" t="s">
        <v>36</v>
      </c>
      <c r="B27" s="50">
        <v>73068.87</v>
      </c>
      <c r="C27" s="19">
        <v>51755.41</v>
      </c>
      <c r="D27" s="19">
        <v>44685.95</v>
      </c>
      <c r="E27" s="19">
        <v>46511.87</v>
      </c>
      <c r="F27" s="19">
        <v>79262.47</v>
      </c>
      <c r="G27" s="19">
        <v>57310.55</v>
      </c>
      <c r="H27" s="19">
        <v>101047.49</v>
      </c>
      <c r="I27" s="19">
        <v>70625.259999999995</v>
      </c>
      <c r="J27" s="19">
        <v>81318</v>
      </c>
      <c r="K27" s="19">
        <v>56600.82</v>
      </c>
      <c r="L27" s="19">
        <v>117146.31</v>
      </c>
      <c r="M27" s="51">
        <v>73828.59</v>
      </c>
      <c r="N27" s="60">
        <f t="shared" si="0"/>
        <v>853161.58999999973</v>
      </c>
      <c r="O27" s="19">
        <f>SUM('TRT 2007'!B27:M27)</f>
        <v>530336.89</v>
      </c>
      <c r="P27" s="77">
        <f t="shared" si="1"/>
        <v>0.60871628221072771</v>
      </c>
    </row>
    <row r="28" spans="1:16">
      <c r="A28" s="49" t="s">
        <v>37</v>
      </c>
      <c r="B28" s="111">
        <v>113044</v>
      </c>
      <c r="C28" s="111">
        <v>123824</v>
      </c>
      <c r="D28" s="111">
        <v>172064</v>
      </c>
      <c r="E28" s="111">
        <v>171889</v>
      </c>
      <c r="F28" s="111">
        <v>122914</v>
      </c>
      <c r="G28" s="19">
        <v>227986</v>
      </c>
      <c r="H28" s="19">
        <v>170017</v>
      </c>
      <c r="I28" s="111">
        <v>167238</v>
      </c>
      <c r="J28" s="111">
        <v>173268</v>
      </c>
      <c r="K28" s="111">
        <v>273703</v>
      </c>
      <c r="L28" s="111">
        <v>109231</v>
      </c>
      <c r="M28" s="119">
        <v>99842</v>
      </c>
      <c r="N28" s="60">
        <f t="shared" si="0"/>
        <v>1925020</v>
      </c>
      <c r="O28" s="19">
        <f>SUM('TRT 2007'!B28:M28)</f>
        <v>1688849</v>
      </c>
      <c r="P28" s="77">
        <f t="shared" si="1"/>
        <v>0.13984139493820935</v>
      </c>
    </row>
    <row r="29" spans="1:16">
      <c r="A29" s="49" t="s">
        <v>38</v>
      </c>
      <c r="B29" s="50">
        <v>71814.47</v>
      </c>
      <c r="C29" s="19">
        <v>56915.87</v>
      </c>
      <c r="D29" s="19">
        <v>54610.67</v>
      </c>
      <c r="E29" s="19">
        <v>49676.639999999999</v>
      </c>
      <c r="F29" s="19">
        <v>85843.93</v>
      </c>
      <c r="G29" s="19">
        <v>23129.7</v>
      </c>
      <c r="H29" s="19">
        <v>46353.53</v>
      </c>
      <c r="I29" s="19">
        <v>400192.46</v>
      </c>
      <c r="J29" s="19">
        <v>50705.41</v>
      </c>
      <c r="K29" s="19">
        <v>102517.77</v>
      </c>
      <c r="L29" s="19">
        <v>45056.53</v>
      </c>
      <c r="M29" s="51">
        <v>36303.32</v>
      </c>
      <c r="N29" s="60">
        <f t="shared" si="0"/>
        <v>1023120.3</v>
      </c>
      <c r="O29" s="19">
        <f>SUM('TRT 2007'!B29:M29)</f>
        <v>557969.06000000006</v>
      </c>
      <c r="P29" s="77">
        <f t="shared" si="1"/>
        <v>0.83365059704206534</v>
      </c>
    </row>
    <row r="30" spans="1:16">
      <c r="A30" s="49" t="s">
        <v>39</v>
      </c>
      <c r="B30" s="50">
        <v>178528.16</v>
      </c>
      <c r="C30" s="19">
        <v>196999.46</v>
      </c>
      <c r="D30" s="19">
        <v>119402.51</v>
      </c>
      <c r="E30" s="19">
        <v>201503.93</v>
      </c>
      <c r="F30" s="19">
        <v>380935.76</v>
      </c>
      <c r="G30" s="19">
        <v>211766.96</v>
      </c>
      <c r="H30" s="19">
        <v>276570.21000000002</v>
      </c>
      <c r="I30" s="19"/>
      <c r="J30" s="19">
        <v>234076.91</v>
      </c>
      <c r="K30" s="19">
        <v>225578.79</v>
      </c>
      <c r="L30" s="19">
        <v>349342.85</v>
      </c>
      <c r="M30" s="51">
        <v>349364.02</v>
      </c>
      <c r="N30" s="60">
        <f t="shared" si="0"/>
        <v>2724069.56</v>
      </c>
      <c r="O30" s="19">
        <f>SUM('TRT 2007'!B30:M30)</f>
        <v>2468206.31</v>
      </c>
      <c r="P30" s="77">
        <f t="shared" si="1"/>
        <v>0.10366363985188909</v>
      </c>
    </row>
    <row r="31" spans="1:16">
      <c r="A31" s="49" t="s">
        <v>40</v>
      </c>
      <c r="B31" s="50">
        <v>6717.57</v>
      </c>
      <c r="C31" s="19">
        <v>17766.45</v>
      </c>
      <c r="D31" s="19">
        <v>493.83</v>
      </c>
      <c r="E31" s="19">
        <v>1956.28</v>
      </c>
      <c r="F31" s="19">
        <v>13841.32</v>
      </c>
      <c r="G31" s="19">
        <v>16351.36</v>
      </c>
      <c r="H31" s="19">
        <v>4592.08</v>
      </c>
      <c r="I31" s="19">
        <v>39839.5</v>
      </c>
      <c r="J31" s="19">
        <v>24457.74</v>
      </c>
      <c r="K31" s="19">
        <v>12939.56</v>
      </c>
      <c r="L31" s="19">
        <v>59466.05</v>
      </c>
      <c r="M31" s="51">
        <v>6331.45</v>
      </c>
      <c r="N31" s="60">
        <f t="shared" si="0"/>
        <v>204753.19</v>
      </c>
      <c r="O31" s="19">
        <f>SUM('TRT 2007'!B31:M31)</f>
        <v>159734.65999999997</v>
      </c>
      <c r="P31" s="77">
        <f t="shared" si="1"/>
        <v>0.2818331976291184</v>
      </c>
    </row>
    <row r="32" spans="1:16" ht="13" thickBot="1">
      <c r="A32" s="53" t="s">
        <v>41</v>
      </c>
      <c r="B32" s="54">
        <v>59783.38</v>
      </c>
      <c r="C32" s="20">
        <v>71363.72</v>
      </c>
      <c r="D32" s="20">
        <v>58629.46</v>
      </c>
      <c r="E32" s="20">
        <v>44697.52</v>
      </c>
      <c r="F32" s="20">
        <v>122254.64</v>
      </c>
      <c r="G32" s="20">
        <v>68276.679999999993</v>
      </c>
      <c r="H32" s="20">
        <v>95499.23</v>
      </c>
      <c r="I32" s="20">
        <v>112075.74</v>
      </c>
      <c r="J32" s="20">
        <v>108739.8</v>
      </c>
      <c r="K32" s="20">
        <v>72656.63</v>
      </c>
      <c r="L32" s="20">
        <v>78409.59</v>
      </c>
      <c r="M32" s="55">
        <v>101079.89</v>
      </c>
      <c r="N32" s="61">
        <f t="shared" si="0"/>
        <v>993466.28</v>
      </c>
      <c r="O32" s="19">
        <f>SUM('TRT 2007'!B32:M32)</f>
        <v>919436.08000000007</v>
      </c>
      <c r="P32" s="78">
        <f>N32/O32-1</f>
        <v>8.0516962092677336E-2</v>
      </c>
    </row>
    <row r="33" spans="1:16" ht="14" thickTop="1" thickBot="1">
      <c r="A33" s="125" t="s">
        <v>54</v>
      </c>
      <c r="B33" s="126">
        <f>SUM(B4:B32)</f>
        <v>1910232.7499999998</v>
      </c>
      <c r="C33" s="127">
        <f>SUM(C4:C32)</f>
        <v>2578892.5600000005</v>
      </c>
      <c r="D33" s="127">
        <f t="shared" ref="D33:L33" si="2">SUM(D4:D32)</f>
        <v>3068705.0599999996</v>
      </c>
      <c r="E33" s="127">
        <f t="shared" si="2"/>
        <v>3238347.0300000003</v>
      </c>
      <c r="F33" s="127">
        <f t="shared" si="2"/>
        <v>4123187.74</v>
      </c>
      <c r="G33" s="127">
        <f t="shared" si="2"/>
        <v>2310375.4300000002</v>
      </c>
      <c r="H33" s="127">
        <f t="shared" si="2"/>
        <v>2819942.77</v>
      </c>
      <c r="I33" s="127">
        <f t="shared" si="2"/>
        <v>3078711.16</v>
      </c>
      <c r="J33" s="127">
        <f t="shared" si="2"/>
        <v>2924739.3700000006</v>
      </c>
      <c r="K33" s="127">
        <f t="shared" si="2"/>
        <v>2866883.06</v>
      </c>
      <c r="L33" s="127">
        <f t="shared" si="2"/>
        <v>3088361.3199999994</v>
      </c>
      <c r="M33" s="128">
        <f>SUM(M4:M32)</f>
        <v>2137708.7599999998</v>
      </c>
      <c r="N33" s="62">
        <f>SUM(N4:N32)</f>
        <v>34146087.009999998</v>
      </c>
      <c r="O33" s="112">
        <f>SUM(O4:O32)</f>
        <v>32605975.469999991</v>
      </c>
      <c r="P33" s="113">
        <f>N33/O33-1</f>
        <v>4.7234027438223025E-2</v>
      </c>
    </row>
    <row r="34" spans="1:16">
      <c r="B34" s="28">
        <f>B33/'TRT 2007'!B33-1</f>
        <v>0.10828448874535845</v>
      </c>
      <c r="C34" s="28">
        <f>C33/'TRT 2007'!C33-1</f>
        <v>4.9046197684700976E-2</v>
      </c>
      <c r="D34" s="28">
        <f>D33/'TRT 2007'!D33-1</f>
        <v>0.24885628930917902</v>
      </c>
      <c r="E34" s="28">
        <f>E33/'TRT 2007'!E33-1</f>
        <v>-9.7243788274995469E-3</v>
      </c>
      <c r="F34" s="28">
        <f>F33/'TRT 2007'!F33-1</f>
        <v>5.5934330810268884E-2</v>
      </c>
      <c r="G34" s="28">
        <f>G33/'TRT 2007'!G33-1</f>
        <v>6.1982487463299929E-2</v>
      </c>
      <c r="H34" s="28">
        <f>H33/'TRT 2007'!H33-1</f>
        <v>0.16800348966762946</v>
      </c>
      <c r="I34" s="28">
        <f>I33/'TRT 2007'!I33-1</f>
        <v>-2.7946826828741056E-2</v>
      </c>
      <c r="J34" s="28">
        <f>J33/'TRT 2007'!J33-1</f>
        <v>8.3621188219636267E-2</v>
      </c>
      <c r="K34" s="28">
        <f>K33/'TRT 2007'!K33-1</f>
        <v>4.700098681853504E-5</v>
      </c>
      <c r="L34" s="28">
        <f>L33/'TRT 2007'!L33-1</f>
        <v>-6.4948550377946224E-2</v>
      </c>
      <c r="M34" s="28">
        <f>M33/'TRT 2007'!M33-1</f>
        <v>-1.3139756929613666E-2</v>
      </c>
      <c r="N34" s="28"/>
    </row>
    <row r="35" spans="1:16">
      <c r="N35" s="116"/>
    </row>
    <row r="36" spans="1:16" ht="21">
      <c r="A36" s="691" t="s">
        <v>93</v>
      </c>
      <c r="B36" s="691"/>
      <c r="C36" s="691"/>
      <c r="D36" s="691"/>
      <c r="E36" s="691"/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</row>
    <row r="37" spans="1:16" ht="13" thickBot="1"/>
    <row r="38" spans="1:16" ht="13" thickBot="1">
      <c r="A38" s="129" t="s">
        <v>42</v>
      </c>
      <c r="B38" s="130" t="s">
        <v>2</v>
      </c>
      <c r="C38" s="131" t="s">
        <v>3</v>
      </c>
      <c r="D38" s="131" t="s">
        <v>4</v>
      </c>
      <c r="E38" s="131" t="s">
        <v>5</v>
      </c>
      <c r="F38" s="131" t="s">
        <v>6</v>
      </c>
      <c r="G38" s="131" t="s">
        <v>7</v>
      </c>
      <c r="H38" s="131" t="s">
        <v>8</v>
      </c>
      <c r="I38" s="131" t="s">
        <v>9</v>
      </c>
      <c r="J38" s="131" t="s">
        <v>10</v>
      </c>
      <c r="K38" s="131" t="s">
        <v>11</v>
      </c>
      <c r="L38" s="131" t="s">
        <v>12</v>
      </c>
      <c r="M38" s="132" t="s">
        <v>13</v>
      </c>
      <c r="N38" s="134" t="s">
        <v>92</v>
      </c>
      <c r="O38" s="131" t="s">
        <v>87</v>
      </c>
      <c r="P38" s="135" t="s">
        <v>16</v>
      </c>
    </row>
    <row r="39" spans="1:16" ht="13" thickBot="1">
      <c r="A39" s="40" t="s">
        <v>31</v>
      </c>
      <c r="B39" s="41">
        <v>121610.16</v>
      </c>
      <c r="C39" s="42">
        <v>118190.92</v>
      </c>
      <c r="D39" s="42">
        <v>159196.72</v>
      </c>
      <c r="E39" s="42">
        <v>175562.91</v>
      </c>
      <c r="F39" s="42">
        <v>189628.29</v>
      </c>
      <c r="G39" s="42">
        <v>131801</v>
      </c>
      <c r="H39" s="42">
        <v>150320.68</v>
      </c>
      <c r="I39" s="42">
        <v>145703.85999999999</v>
      </c>
      <c r="J39" s="42">
        <v>169151.06</v>
      </c>
      <c r="K39" s="42">
        <v>145289.26999999999</v>
      </c>
      <c r="L39" s="42">
        <v>160707.38</v>
      </c>
      <c r="M39" s="43">
        <v>125317.52</v>
      </c>
      <c r="N39" s="46">
        <f>SUM(B39:M39)</f>
        <v>1792479.77</v>
      </c>
      <c r="O39" s="114">
        <f>SUM('TRT 2007'!B39:M39)</f>
        <v>1795289.31</v>
      </c>
      <c r="P39" s="115">
        <f>N39/O39-1</f>
        <v>-1.564951110860302E-3</v>
      </c>
    </row>
    <row r="40" spans="1:16">
      <c r="B40" s="28">
        <f>B39/'TRT 2007'!B39-1</f>
        <v>-4.1563130374748236E-2</v>
      </c>
      <c r="C40" s="28">
        <f>C39/'TRT 2007'!C39-1</f>
        <v>0.1040385976138043</v>
      </c>
      <c r="D40" s="28">
        <f>D39/'TRT 2007'!D39-1</f>
        <v>0.21778861706773545</v>
      </c>
      <c r="E40" s="28">
        <f>E39/'TRT 2007'!E39-1</f>
        <v>1.5983712122812355E-2</v>
      </c>
      <c r="F40" s="28">
        <f>F39/'TRT 2007'!F39-1</f>
        <v>-2.2158774011290072E-2</v>
      </c>
      <c r="G40" s="28">
        <f>G39/'TRT 2007'!G39-1</f>
        <v>1.3253843992995673E-2</v>
      </c>
      <c r="H40" s="28">
        <f>H39/'TRT 2007'!H39-1</f>
        <v>-1.7376062115776247E-2</v>
      </c>
      <c r="I40" s="28">
        <f>I39/'TRT 2007'!I39-1</f>
        <v>-0.11855539351466338</v>
      </c>
      <c r="J40" s="28">
        <f>J39/'TRT 2007'!J39-1</f>
        <v>0.17001534048927702</v>
      </c>
      <c r="K40" s="28">
        <f>K39/'TRT 2007'!K39-1</f>
        <v>-0.18600494046892391</v>
      </c>
      <c r="L40" s="28">
        <f>L39/'TRT 2007'!L39-1</f>
        <v>2.2050213622216264E-2</v>
      </c>
      <c r="M40" s="28">
        <f>M39/'TRT 2007'!M39-1</f>
        <v>-7.3381476254080091E-2</v>
      </c>
      <c r="N40" s="28"/>
    </row>
    <row r="41" spans="1:16">
      <c r="N41" s="100"/>
    </row>
    <row r="42" spans="1:16">
      <c r="N42" s="100"/>
    </row>
    <row r="43" spans="1:16">
      <c r="H43" s="100"/>
      <c r="J43" s="100"/>
    </row>
    <row r="44" spans="1:16">
      <c r="H44" s="100"/>
    </row>
    <row r="45" spans="1:16">
      <c r="H45" s="100"/>
    </row>
  </sheetData>
  <mergeCells count="2">
    <mergeCell ref="A1:P1"/>
    <mergeCell ref="A36:P36"/>
  </mergeCells>
  <phoneticPr fontId="0" type="noConversion"/>
  <printOptions horizontalCentered="1"/>
  <pageMargins left="0" right="0" top="1" bottom="1" header="0.5" footer="0.5"/>
  <pageSetup scale="89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 enableFormatConditionsCalculation="0">
    <tabColor rgb="FF0070C0"/>
    <pageSetUpPr fitToPage="1"/>
  </sheetPr>
  <dimension ref="A1:P48"/>
  <sheetViews>
    <sheetView workbookViewId="0">
      <selection activeCell="B30" sqref="B30:M30"/>
    </sheetView>
  </sheetViews>
  <sheetFormatPr baseColWidth="10" defaultColWidth="8.83203125" defaultRowHeight="12" x14ac:dyDescent="0"/>
  <cols>
    <col min="2" max="2" width="9.5" bestFit="1" customWidth="1"/>
    <col min="5" max="6" width="9.5" bestFit="1" customWidth="1"/>
    <col min="8" max="8" width="9.5" bestFit="1" customWidth="1"/>
    <col min="14" max="15" width="11.1640625" bestFit="1" customWidth="1"/>
  </cols>
  <sheetData>
    <row r="1" spans="1:16" ht="21">
      <c r="A1" s="691" t="s">
        <v>84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16" ht="13" thickBot="1">
      <c r="A2" s="47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s="154" customFormat="1" ht="13" thickBot="1">
      <c r="A3" s="40" t="s">
        <v>42</v>
      </c>
      <c r="B3" s="171" t="s">
        <v>2</v>
      </c>
      <c r="C3" s="156" t="s">
        <v>3</v>
      </c>
      <c r="D3" s="156" t="s">
        <v>4</v>
      </c>
      <c r="E3" s="156" t="s">
        <v>5</v>
      </c>
      <c r="F3" s="156" t="s">
        <v>6</v>
      </c>
      <c r="G3" s="156" t="s">
        <v>7</v>
      </c>
      <c r="H3" s="156" t="s">
        <v>8</v>
      </c>
      <c r="I3" s="156" t="s">
        <v>9</v>
      </c>
      <c r="J3" s="156" t="s">
        <v>10</v>
      </c>
      <c r="K3" s="156" t="s">
        <v>11</v>
      </c>
      <c r="L3" s="156" t="s">
        <v>12</v>
      </c>
      <c r="M3" s="158" t="s">
        <v>13</v>
      </c>
      <c r="N3" s="180" t="s">
        <v>87</v>
      </c>
      <c r="O3" s="156" t="s">
        <v>79</v>
      </c>
      <c r="P3" s="161" t="s">
        <v>16</v>
      </c>
    </row>
    <row r="4" spans="1:16">
      <c r="A4" s="49" t="s">
        <v>17</v>
      </c>
      <c r="B4" s="50">
        <v>1156.28</v>
      </c>
      <c r="C4" s="19">
        <v>20156.88</v>
      </c>
      <c r="D4" s="19">
        <v>3375.92</v>
      </c>
      <c r="E4" s="19">
        <v>1241.51</v>
      </c>
      <c r="F4" s="19">
        <v>14875.54</v>
      </c>
      <c r="G4" s="19">
        <v>6850.97</v>
      </c>
      <c r="H4" s="19">
        <v>2672.25</v>
      </c>
      <c r="I4" s="19">
        <v>45387.08</v>
      </c>
      <c r="J4" s="19">
        <v>7922.66</v>
      </c>
      <c r="K4" s="19">
        <v>6455.77</v>
      </c>
      <c r="L4" s="19">
        <v>43119.89</v>
      </c>
      <c r="M4" s="51">
        <v>13482.58</v>
      </c>
      <c r="N4" s="106">
        <f>SUM(B4:M4)</f>
        <v>166697.32999999999</v>
      </c>
      <c r="O4" s="19">
        <f>SUM('TRT 2006'!B4:M4)</f>
        <v>108995.81000000001</v>
      </c>
      <c r="P4" s="77">
        <f>N4/O4-1</f>
        <v>0.52939209314559865</v>
      </c>
    </row>
    <row r="5" spans="1:16">
      <c r="A5" s="49" t="s">
        <v>18</v>
      </c>
      <c r="B5" s="50">
        <v>9400</v>
      </c>
      <c r="C5" s="19">
        <v>10014.81</v>
      </c>
      <c r="D5" s="19">
        <v>5963.88</v>
      </c>
      <c r="E5" s="19">
        <v>4547.99</v>
      </c>
      <c r="F5" s="19">
        <v>10790.1</v>
      </c>
      <c r="G5" s="19">
        <v>8991.2999999999993</v>
      </c>
      <c r="H5" s="19">
        <v>10171.280000000001</v>
      </c>
      <c r="I5" s="19">
        <v>18360.759999999998</v>
      </c>
      <c r="J5" s="19">
        <v>14626.36</v>
      </c>
      <c r="K5" s="19">
        <v>10716.54</v>
      </c>
      <c r="L5" s="19">
        <v>22658.53</v>
      </c>
      <c r="M5" s="51">
        <v>10101.74</v>
      </c>
      <c r="N5" s="60">
        <f t="shared" ref="N5:N32" si="0">SUM(B5:M5)</f>
        <v>136343.28999999998</v>
      </c>
      <c r="O5" s="19">
        <f>SUM('TRT 2006'!B5:M5)</f>
        <v>89940.91</v>
      </c>
      <c r="P5" s="77">
        <f t="shared" ref="P5:P31" si="1">N5/O5-1</f>
        <v>0.51592073062191579</v>
      </c>
    </row>
    <row r="6" spans="1:16">
      <c r="A6" s="49" t="s">
        <v>19</v>
      </c>
      <c r="B6" s="50">
        <v>21733.119999999999</v>
      </c>
      <c r="C6" s="19">
        <v>22111.9</v>
      </c>
      <c r="D6" s="19">
        <v>17149.03</v>
      </c>
      <c r="E6" s="19">
        <v>14963.88</v>
      </c>
      <c r="F6" s="19">
        <v>30085.14</v>
      </c>
      <c r="G6" s="19">
        <v>18309.73</v>
      </c>
      <c r="H6" s="19">
        <v>27067.21</v>
      </c>
      <c r="I6" s="19">
        <v>39932.07</v>
      </c>
      <c r="J6" s="19">
        <v>41643.279999999999</v>
      </c>
      <c r="K6" s="19">
        <v>28934.46</v>
      </c>
      <c r="L6" s="19">
        <v>38995.47</v>
      </c>
      <c r="M6" s="51">
        <v>15737.1</v>
      </c>
      <c r="N6" s="60">
        <f t="shared" si="0"/>
        <v>316662.39</v>
      </c>
      <c r="O6" s="19">
        <f>SUM('TRT 2006'!B6:M6)</f>
        <v>269850.34000000003</v>
      </c>
      <c r="P6" s="77">
        <f t="shared" si="1"/>
        <v>0.1734741190246416</v>
      </c>
    </row>
    <row r="7" spans="1:16">
      <c r="A7" s="49" t="s">
        <v>20</v>
      </c>
      <c r="B7" s="50">
        <v>12884.65</v>
      </c>
      <c r="C7" s="19">
        <v>12979.8</v>
      </c>
      <c r="D7" s="19">
        <v>8945.58</v>
      </c>
      <c r="E7" s="19">
        <v>16560.7</v>
      </c>
      <c r="F7" s="19">
        <v>14961.53</v>
      </c>
      <c r="G7" s="19">
        <v>25814.240000000002</v>
      </c>
      <c r="H7" s="19">
        <v>19975.16</v>
      </c>
      <c r="I7" s="19">
        <v>24950.01</v>
      </c>
      <c r="J7" s="19">
        <v>34137.370000000003</v>
      </c>
      <c r="K7" s="19">
        <v>23976.12</v>
      </c>
      <c r="L7" s="19">
        <v>32505.33</v>
      </c>
      <c r="M7" s="51">
        <v>22073.24</v>
      </c>
      <c r="N7" s="60">
        <f t="shared" si="0"/>
        <v>249763.72999999998</v>
      </c>
      <c r="O7" s="19">
        <f>SUM('TRT 2006'!B7:M7)</f>
        <v>211713.69999999998</v>
      </c>
      <c r="P7" s="77">
        <f t="shared" si="1"/>
        <v>0.17972398574112125</v>
      </c>
    </row>
    <row r="8" spans="1:16">
      <c r="A8" s="49" t="s">
        <v>21</v>
      </c>
      <c r="B8" s="50">
        <v>1725.41</v>
      </c>
      <c r="C8" s="19">
        <v>967.25</v>
      </c>
      <c r="D8" s="19">
        <v>1429.26</v>
      </c>
      <c r="E8" s="19">
        <v>1361.15</v>
      </c>
      <c r="F8" s="19">
        <v>3106.92</v>
      </c>
      <c r="G8" s="19">
        <v>4879.2299999999996</v>
      </c>
      <c r="H8" s="19">
        <v>6280.15</v>
      </c>
      <c r="I8" s="19">
        <v>11589.23</v>
      </c>
      <c r="J8" s="19">
        <v>9212.23</v>
      </c>
      <c r="K8" s="19">
        <v>9687.56</v>
      </c>
      <c r="L8" s="19">
        <v>14237.26</v>
      </c>
      <c r="M8" s="51">
        <v>4141.41</v>
      </c>
      <c r="N8" s="60">
        <f t="shared" si="0"/>
        <v>68617.06</v>
      </c>
      <c r="O8" s="19">
        <f>SUM('TRT 2006'!B8:M8)</f>
        <v>65201.639999999992</v>
      </c>
      <c r="P8" s="77">
        <f t="shared" si="1"/>
        <v>5.2382424736555855E-2</v>
      </c>
    </row>
    <row r="9" spans="1:16">
      <c r="A9" s="49" t="s">
        <v>22</v>
      </c>
      <c r="B9" s="111">
        <v>110311</v>
      </c>
      <c r="C9" s="111">
        <v>81131.679999999993</v>
      </c>
      <c r="D9" s="111">
        <v>57874.52</v>
      </c>
      <c r="E9" s="111">
        <v>42726.7</v>
      </c>
      <c r="F9" s="111">
        <v>79012.55</v>
      </c>
      <c r="G9" s="111">
        <v>63256.56</v>
      </c>
      <c r="H9" s="111">
        <v>104907.52</v>
      </c>
      <c r="I9" s="19">
        <v>95804.09</v>
      </c>
      <c r="J9" s="19">
        <v>74671</v>
      </c>
      <c r="K9" s="19">
        <v>59637</v>
      </c>
      <c r="L9" s="19">
        <v>80442</v>
      </c>
      <c r="M9" s="51">
        <v>108510.89</v>
      </c>
      <c r="N9" s="60">
        <f>SUM(B9:M9)</f>
        <v>958285.50999999989</v>
      </c>
      <c r="O9" s="19">
        <f>SUM('TRT 2006'!B9:M9)</f>
        <v>623375</v>
      </c>
      <c r="P9" s="77">
        <f t="shared" si="1"/>
        <v>0.53725367555644654</v>
      </c>
    </row>
    <row r="10" spans="1:16">
      <c r="A10" s="49" t="s">
        <v>23</v>
      </c>
      <c r="B10" s="50">
        <v>3854</v>
      </c>
      <c r="C10" s="19">
        <v>3943</v>
      </c>
      <c r="D10" s="19">
        <v>3791</v>
      </c>
      <c r="E10" s="19">
        <v>4605</v>
      </c>
      <c r="F10" s="19">
        <v>9213</v>
      </c>
      <c r="G10" s="19">
        <v>12097</v>
      </c>
      <c r="H10" s="19">
        <v>13907</v>
      </c>
      <c r="I10" s="19">
        <v>11391</v>
      </c>
      <c r="J10" s="19">
        <v>8540</v>
      </c>
      <c r="K10" s="19">
        <v>5083</v>
      </c>
      <c r="L10" s="19">
        <v>4569</v>
      </c>
      <c r="M10" s="51">
        <v>4110</v>
      </c>
      <c r="N10" s="60">
        <f>SUM(B10:M10)</f>
        <v>85103</v>
      </c>
      <c r="O10" s="19">
        <f>SUM('TRT 2006'!B10:M10)</f>
        <v>65159</v>
      </c>
      <c r="P10" s="77">
        <f t="shared" si="1"/>
        <v>0.30608204545803352</v>
      </c>
    </row>
    <row r="11" spans="1:16">
      <c r="A11" s="49" t="s">
        <v>51</v>
      </c>
      <c r="B11" s="50">
        <v>18338.259999999998</v>
      </c>
      <c r="C11" s="19">
        <v>5708</v>
      </c>
      <c r="D11" s="19">
        <v>4243</v>
      </c>
      <c r="E11" s="19">
        <v>11215</v>
      </c>
      <c r="F11" s="19">
        <v>20985</v>
      </c>
      <c r="G11" s="19">
        <v>10931</v>
      </c>
      <c r="H11" s="19">
        <v>28560</v>
      </c>
      <c r="I11" s="19">
        <v>32960</v>
      </c>
      <c r="J11" s="19">
        <v>10440</v>
      </c>
      <c r="K11" s="19">
        <v>58957</v>
      </c>
      <c r="L11" s="19">
        <v>26481</v>
      </c>
      <c r="M11" s="51">
        <v>17904</v>
      </c>
      <c r="N11" s="60">
        <f t="shared" si="0"/>
        <v>246722.26</v>
      </c>
      <c r="O11" s="19">
        <f>SUM('TRT 2006'!B11:M11)</f>
        <v>167715.38</v>
      </c>
      <c r="P11" s="77">
        <f t="shared" si="1"/>
        <v>0.47107713079146341</v>
      </c>
    </row>
    <row r="12" spans="1:16">
      <c r="A12" s="49" t="s">
        <v>24</v>
      </c>
      <c r="B12" s="50">
        <v>16548.8</v>
      </c>
      <c r="C12" s="19">
        <v>19812.03</v>
      </c>
      <c r="D12" s="19">
        <v>2035.99</v>
      </c>
      <c r="E12" s="19">
        <v>11422</v>
      </c>
      <c r="F12" s="19">
        <v>49136</v>
      </c>
      <c r="G12" s="19">
        <v>84291</v>
      </c>
      <c r="H12" s="19">
        <v>132307</v>
      </c>
      <c r="I12" s="19">
        <v>126288</v>
      </c>
      <c r="J12" s="19">
        <v>125677</v>
      </c>
      <c r="K12" s="19">
        <v>178154</v>
      </c>
      <c r="L12" s="19">
        <v>129481</v>
      </c>
      <c r="M12" s="51">
        <v>100544</v>
      </c>
      <c r="N12" s="60">
        <f t="shared" si="0"/>
        <v>975696.82000000007</v>
      </c>
      <c r="O12" s="19">
        <f>SUM('TRT 2006'!B12:M12)</f>
        <v>569015.67000000004</v>
      </c>
      <c r="P12" s="77">
        <f t="shared" si="1"/>
        <v>0.71470993057185939</v>
      </c>
    </row>
    <row r="13" spans="1:16">
      <c r="A13" s="49" t="s">
        <v>25</v>
      </c>
      <c r="B13" s="50">
        <v>16965.240000000002</v>
      </c>
      <c r="C13" s="19">
        <v>26176.240000000002</v>
      </c>
      <c r="D13" s="19">
        <v>108127.57</v>
      </c>
      <c r="E13" s="19">
        <v>172043.59</v>
      </c>
      <c r="F13" s="19">
        <v>173330.82</v>
      </c>
      <c r="G13" s="19">
        <v>144059.75</v>
      </c>
      <c r="H13" s="19">
        <v>125895.02</v>
      </c>
      <c r="I13" s="19">
        <v>138077.98000000001</v>
      </c>
      <c r="J13" s="19">
        <v>161369.85999999999</v>
      </c>
      <c r="K13" s="19">
        <v>132753.47</v>
      </c>
      <c r="L13" s="19">
        <v>52009.46</v>
      </c>
      <c r="M13" s="51">
        <v>18220.689999999999</v>
      </c>
      <c r="N13" s="60">
        <f t="shared" si="0"/>
        <v>1269029.6899999997</v>
      </c>
      <c r="O13" s="19">
        <f>SUM('TRT 2006'!B13:M13)</f>
        <v>1095317</v>
      </c>
      <c r="P13" s="77">
        <f t="shared" si="1"/>
        <v>0.15859581290165292</v>
      </c>
    </row>
    <row r="14" spans="1:16">
      <c r="A14" s="49" t="s">
        <v>26</v>
      </c>
      <c r="B14" s="50">
        <v>21888.17</v>
      </c>
      <c r="C14" s="19">
        <v>75876.320000000007</v>
      </c>
      <c r="D14" s="19">
        <v>24008.86</v>
      </c>
      <c r="E14" s="19">
        <v>42806.87</v>
      </c>
      <c r="F14" s="19">
        <v>97449.76</v>
      </c>
      <c r="G14" s="19">
        <v>57821.48</v>
      </c>
      <c r="H14" s="19">
        <v>54422.55</v>
      </c>
      <c r="I14" s="19">
        <v>151563.07</v>
      </c>
      <c r="J14" s="19">
        <v>101725.88</v>
      </c>
      <c r="K14" s="19">
        <v>66214.31</v>
      </c>
      <c r="L14" s="19">
        <v>133098.75</v>
      </c>
      <c r="M14" s="51">
        <v>55832.74</v>
      </c>
      <c r="N14" s="60">
        <f t="shared" si="0"/>
        <v>882708.76</v>
      </c>
      <c r="O14" s="19">
        <f>SUM('TRT 2006'!B14:M14)</f>
        <v>548915.37</v>
      </c>
      <c r="P14" s="77">
        <f t="shared" si="1"/>
        <v>0.60809627174403946</v>
      </c>
    </row>
    <row r="15" spans="1:16">
      <c r="A15" s="49" t="s">
        <v>27</v>
      </c>
      <c r="B15" s="50"/>
      <c r="C15" s="19">
        <v>13098.61</v>
      </c>
      <c r="D15" s="19">
        <v>62.17</v>
      </c>
      <c r="E15" s="19">
        <v>0.8</v>
      </c>
      <c r="F15" s="19">
        <v>12161.71</v>
      </c>
      <c r="G15" s="19">
        <v>632.85</v>
      </c>
      <c r="H15" s="19"/>
      <c r="I15" s="19">
        <v>18802.060000000001</v>
      </c>
      <c r="J15" s="19">
        <v>1926.27</v>
      </c>
      <c r="K15" s="19"/>
      <c r="L15" s="19">
        <v>23821.42</v>
      </c>
      <c r="M15" s="51"/>
      <c r="N15" s="60">
        <f t="shared" si="0"/>
        <v>70505.889999999985</v>
      </c>
      <c r="O15" s="19">
        <f>SUM('TRT 2006'!B15:M15)</f>
        <v>62421.520000000004</v>
      </c>
      <c r="P15" s="77">
        <f t="shared" si="1"/>
        <v>0.12951254631415554</v>
      </c>
    </row>
    <row r="16" spans="1:16">
      <c r="A16" s="49" t="s">
        <v>28</v>
      </c>
      <c r="B16" s="50">
        <v>14747.51</v>
      </c>
      <c r="C16" s="19">
        <v>24582.66</v>
      </c>
      <c r="D16" s="19">
        <v>5600.48</v>
      </c>
      <c r="E16" s="19">
        <v>11091.42</v>
      </c>
      <c r="F16" s="19">
        <v>25734.66</v>
      </c>
      <c r="G16" s="19">
        <v>38224.449999999997</v>
      </c>
      <c r="H16" s="19">
        <v>51254.89</v>
      </c>
      <c r="I16" s="19">
        <v>114496.31</v>
      </c>
      <c r="J16" s="19">
        <v>74012.56</v>
      </c>
      <c r="K16" s="19">
        <v>63556.82</v>
      </c>
      <c r="L16" s="19">
        <v>119780.37</v>
      </c>
      <c r="M16" s="51">
        <v>50069.85</v>
      </c>
      <c r="N16" s="60">
        <f t="shared" si="0"/>
        <v>593151.98</v>
      </c>
      <c r="O16" s="19">
        <f>SUM('TRT 2006'!B16:M16)</f>
        <v>372199.87</v>
      </c>
      <c r="P16" s="77">
        <f t="shared" si="1"/>
        <v>0.59363833200694027</v>
      </c>
    </row>
    <row r="17" spans="1:16">
      <c r="A17" s="49" t="s">
        <v>52</v>
      </c>
      <c r="B17" s="50">
        <v>3286.03</v>
      </c>
      <c r="C17" s="19">
        <v>3795.49</v>
      </c>
      <c r="D17" s="19"/>
      <c r="E17" s="19">
        <v>3124.94</v>
      </c>
      <c r="F17" s="19">
        <v>10318.66</v>
      </c>
      <c r="G17" s="19">
        <v>7011.95</v>
      </c>
      <c r="H17" s="19">
        <v>2235.6</v>
      </c>
      <c r="I17" s="19">
        <v>22134.48</v>
      </c>
      <c r="J17" s="19">
        <v>3566.91</v>
      </c>
      <c r="K17" s="19">
        <v>8243.1</v>
      </c>
      <c r="L17" s="19">
        <v>23721.05</v>
      </c>
      <c r="M17" s="51">
        <v>4414.07</v>
      </c>
      <c r="N17" s="60">
        <f t="shared" si="0"/>
        <v>91852.28</v>
      </c>
      <c r="O17" s="19">
        <f>SUM('TRT 2006'!B17:M17)</f>
        <v>101217.34000000001</v>
      </c>
      <c r="P17" s="77">
        <f t="shared" si="1"/>
        <v>-9.2524265111096682E-2</v>
      </c>
    </row>
    <row r="18" spans="1:16">
      <c r="A18" s="49" t="s">
        <v>29</v>
      </c>
      <c r="B18" s="50">
        <v>38.54</v>
      </c>
      <c r="C18" s="19">
        <v>99.32</v>
      </c>
      <c r="D18" s="19">
        <v>144.9</v>
      </c>
      <c r="E18" s="19">
        <v>3.67</v>
      </c>
      <c r="F18" s="19">
        <v>28.23</v>
      </c>
      <c r="G18" s="19">
        <v>254.1</v>
      </c>
      <c r="H18" s="19"/>
      <c r="I18" s="19">
        <v>68.56</v>
      </c>
      <c r="J18" s="19">
        <v>1125.78</v>
      </c>
      <c r="K18" s="19"/>
      <c r="L18" s="19">
        <v>503.14</v>
      </c>
      <c r="M18" s="51">
        <v>60.4</v>
      </c>
      <c r="N18" s="60">
        <f t="shared" si="0"/>
        <v>2326.64</v>
      </c>
      <c r="O18" s="19">
        <f>SUM('TRT 2006'!B18:M18)</f>
        <v>2829.76</v>
      </c>
      <c r="P18" s="77">
        <f t="shared" si="1"/>
        <v>-0.17779599683365388</v>
      </c>
    </row>
    <row r="19" spans="1:16">
      <c r="A19" s="49" t="s">
        <v>53</v>
      </c>
      <c r="B19" s="50">
        <v>424.85</v>
      </c>
      <c r="C19" s="19">
        <v>1686.3</v>
      </c>
      <c r="D19" s="19">
        <v>2.4700000000000002</v>
      </c>
      <c r="E19" s="19">
        <v>260.25</v>
      </c>
      <c r="F19" s="19">
        <v>624.04999999999995</v>
      </c>
      <c r="G19" s="19">
        <v>508.18</v>
      </c>
      <c r="H19" s="19">
        <v>169.5</v>
      </c>
      <c r="I19" s="19">
        <v>4034.86</v>
      </c>
      <c r="J19" s="19">
        <v>1082.9100000000001</v>
      </c>
      <c r="K19" s="19">
        <v>452.97</v>
      </c>
      <c r="L19" s="19">
        <v>4958.1899999999996</v>
      </c>
      <c r="M19" s="51">
        <v>32.979999999999997</v>
      </c>
      <c r="N19" s="60">
        <f t="shared" si="0"/>
        <v>14237.509999999998</v>
      </c>
      <c r="O19" s="19">
        <f>SUM('TRT 2006'!B19:M19)</f>
        <v>14730</v>
      </c>
      <c r="P19" s="77">
        <f t="shared" si="1"/>
        <v>-3.3434487440597516E-2</v>
      </c>
    </row>
    <row r="20" spans="1:16">
      <c r="A20" s="49" t="s">
        <v>30</v>
      </c>
      <c r="B20" s="50">
        <v>1604.69</v>
      </c>
      <c r="C20" s="19">
        <v>3588.96</v>
      </c>
      <c r="D20" s="19">
        <v>1624.46</v>
      </c>
      <c r="E20" s="19">
        <v>2952.74</v>
      </c>
      <c r="F20" s="19">
        <v>5688.05</v>
      </c>
      <c r="G20" s="19">
        <v>4313.8500000000004</v>
      </c>
      <c r="H20" s="19">
        <v>7900.59</v>
      </c>
      <c r="I20" s="19">
        <v>12328.8</v>
      </c>
      <c r="J20" s="19">
        <v>12999.44</v>
      </c>
      <c r="K20" s="19">
        <v>44107.01</v>
      </c>
      <c r="L20" s="19">
        <v>9364.52</v>
      </c>
      <c r="M20" s="51">
        <v>150.16999999999999</v>
      </c>
      <c r="N20" s="60">
        <f t="shared" si="0"/>
        <v>106623.28</v>
      </c>
      <c r="O20" s="19">
        <f>SUM('TRT 2006'!B20:M20)</f>
        <v>50041.66</v>
      </c>
      <c r="P20" s="77">
        <f t="shared" si="1"/>
        <v>1.1306903088346787</v>
      </c>
    </row>
    <row r="21" spans="1:16">
      <c r="A21" s="49" t="s">
        <v>31</v>
      </c>
      <c r="B21" s="50">
        <v>1078548.74</v>
      </c>
      <c r="C21" s="19">
        <v>909983.03</v>
      </c>
      <c r="D21" s="19">
        <v>1111208.76</v>
      </c>
      <c r="E21" s="19">
        <v>1468856.93</v>
      </c>
      <c r="F21" s="19">
        <v>1648421.39</v>
      </c>
      <c r="G21" s="19">
        <v>1105691.3400000001</v>
      </c>
      <c r="H21" s="19">
        <v>1105309.23</v>
      </c>
      <c r="I21" s="19">
        <v>1194341.23</v>
      </c>
      <c r="J21" s="19">
        <v>1044565.27</v>
      </c>
      <c r="K21" s="19">
        <v>1289627.1100000001</v>
      </c>
      <c r="L21" s="19">
        <v>1136098.5</v>
      </c>
      <c r="M21" s="51">
        <v>977154.42</v>
      </c>
      <c r="N21" s="60">
        <f t="shared" si="0"/>
        <v>14069805.949999999</v>
      </c>
      <c r="O21" s="19">
        <f>SUM('TRT 2006'!B21:M21)</f>
        <v>10040196.039999999</v>
      </c>
      <c r="P21" s="77">
        <f t="shared" si="1"/>
        <v>0.40134773205085739</v>
      </c>
    </row>
    <row r="22" spans="1:16">
      <c r="A22" s="49" t="s">
        <v>45</v>
      </c>
      <c r="B22" s="50">
        <v>8862.7099999999991</v>
      </c>
      <c r="C22" s="19">
        <v>24563.200000000001</v>
      </c>
      <c r="D22" s="19">
        <v>1261.3900000000001</v>
      </c>
      <c r="E22" s="19">
        <v>6397.15</v>
      </c>
      <c r="F22" s="19">
        <v>19896.54</v>
      </c>
      <c r="G22" s="19">
        <v>28235.31</v>
      </c>
      <c r="H22" s="19">
        <v>30949.4</v>
      </c>
      <c r="I22" s="19">
        <v>103598.16</v>
      </c>
      <c r="J22" s="19">
        <v>32827.870000000003</v>
      </c>
      <c r="K22" s="19">
        <v>21484.13</v>
      </c>
      <c r="L22" s="19">
        <v>107198.14</v>
      </c>
      <c r="M22" s="51">
        <v>28601.86</v>
      </c>
      <c r="N22" s="60">
        <f t="shared" si="0"/>
        <v>413875.86</v>
      </c>
      <c r="O22" s="19">
        <f>SUM('TRT 2006'!B22:M22)</f>
        <v>267499.12</v>
      </c>
      <c r="P22" s="77">
        <f t="shared" si="1"/>
        <v>0.54720456650474203</v>
      </c>
    </row>
    <row r="23" spans="1:16">
      <c r="A23" s="49" t="s">
        <v>32</v>
      </c>
      <c r="B23" s="50">
        <v>1115.3699999999999</v>
      </c>
      <c r="C23" s="19">
        <v>12364.82</v>
      </c>
      <c r="D23" s="19">
        <v>3515.11</v>
      </c>
      <c r="E23" s="19">
        <v>264.57</v>
      </c>
      <c r="F23" s="19">
        <v>8234.2199999999993</v>
      </c>
      <c r="G23" s="19">
        <v>4320.2299999999996</v>
      </c>
      <c r="H23" s="19">
        <v>0</v>
      </c>
      <c r="I23" s="19">
        <v>16466.63</v>
      </c>
      <c r="J23" s="19">
        <v>0</v>
      </c>
      <c r="K23" s="19">
        <v>2407.73</v>
      </c>
      <c r="L23" s="19">
        <v>11953.93</v>
      </c>
      <c r="M23" s="51">
        <v>8351.9699999999993</v>
      </c>
      <c r="N23" s="60">
        <f t="shared" si="0"/>
        <v>68994.58</v>
      </c>
      <c r="O23" s="19">
        <f>SUM('TRT 2006'!B23:M23)</f>
        <v>36929.64</v>
      </c>
      <c r="P23" s="77">
        <f t="shared" si="1"/>
        <v>0.86827112314119503</v>
      </c>
    </row>
    <row r="24" spans="1:16">
      <c r="A24" s="49" t="s">
        <v>33</v>
      </c>
      <c r="B24" s="50">
        <v>12689.68</v>
      </c>
      <c r="C24" s="19">
        <v>19937.41</v>
      </c>
      <c r="D24" s="19">
        <v>7721.32</v>
      </c>
      <c r="E24" s="19">
        <v>6919.53</v>
      </c>
      <c r="F24" s="19">
        <v>7766.81</v>
      </c>
      <c r="G24" s="19">
        <v>21654.87</v>
      </c>
      <c r="H24" s="19">
        <v>28713.97</v>
      </c>
      <c r="I24" s="19">
        <v>38387.75</v>
      </c>
      <c r="J24" s="19">
        <v>27102.15</v>
      </c>
      <c r="K24" s="19">
        <v>21097.02</v>
      </c>
      <c r="L24" s="19">
        <v>52945.36</v>
      </c>
      <c r="M24" s="51">
        <v>15171.36</v>
      </c>
      <c r="N24" s="60">
        <f t="shared" si="0"/>
        <v>260107.22999999998</v>
      </c>
      <c r="O24" s="19">
        <f>SUM('TRT 2006'!B24:M24)</f>
        <v>225549.74</v>
      </c>
      <c r="P24" s="77">
        <f t="shared" si="1"/>
        <v>0.15321449716590219</v>
      </c>
    </row>
    <row r="25" spans="1:16">
      <c r="A25" s="49" t="s">
        <v>34</v>
      </c>
      <c r="B25" s="50">
        <v>90948.46</v>
      </c>
      <c r="C25" s="19">
        <v>722608.57</v>
      </c>
      <c r="D25" s="19">
        <v>858295.58</v>
      </c>
      <c r="E25" s="19">
        <v>1070654.3799999999</v>
      </c>
      <c r="F25" s="19">
        <v>1031642.92</v>
      </c>
      <c r="G25" s="19">
        <v>35494.47</v>
      </c>
      <c r="H25" s="19">
        <v>88513.49</v>
      </c>
      <c r="I25" s="19">
        <v>172762.33</v>
      </c>
      <c r="J25" s="19">
        <v>177232.85</v>
      </c>
      <c r="K25" s="19">
        <v>220902.08</v>
      </c>
      <c r="L25" s="19">
        <v>441580.68</v>
      </c>
      <c r="M25" s="51">
        <v>90865.01</v>
      </c>
      <c r="N25" s="60">
        <f t="shared" si="0"/>
        <v>5001500.8199999994</v>
      </c>
      <c r="O25" s="19">
        <f>SUM('TRT 2006'!B25:M25)</f>
        <v>4601373.21</v>
      </c>
      <c r="P25" s="77">
        <f t="shared" si="1"/>
        <v>8.695830391032322E-2</v>
      </c>
    </row>
    <row r="26" spans="1:16">
      <c r="A26" s="49" t="s">
        <v>35</v>
      </c>
      <c r="B26" s="50">
        <v>9591.86</v>
      </c>
      <c r="C26" s="19">
        <v>13510.52</v>
      </c>
      <c r="D26" s="19">
        <v>6345.57</v>
      </c>
      <c r="E26" s="19">
        <v>17824.14</v>
      </c>
      <c r="F26" s="19">
        <v>21037.48</v>
      </c>
      <c r="G26" s="19">
        <v>14890.57</v>
      </c>
      <c r="H26" s="19">
        <v>24534.38</v>
      </c>
      <c r="I26" s="19">
        <v>38990.449999999997</v>
      </c>
      <c r="J26" s="19">
        <v>23468.66</v>
      </c>
      <c r="K26" s="19">
        <v>24726.22</v>
      </c>
      <c r="L26" s="19">
        <v>23964.91</v>
      </c>
      <c r="M26" s="51">
        <v>13946.85</v>
      </c>
      <c r="N26" s="60">
        <f t="shared" si="0"/>
        <v>232831.61</v>
      </c>
      <c r="O26" s="19">
        <f>SUM('TRT 2006'!B26:M26)</f>
        <v>166839.12999999998</v>
      </c>
      <c r="P26" s="77">
        <f t="shared" si="1"/>
        <v>0.39554557734747253</v>
      </c>
    </row>
    <row r="27" spans="1:16">
      <c r="A27" s="49" t="s">
        <v>36</v>
      </c>
      <c r="B27" s="50">
        <v>22273.29</v>
      </c>
      <c r="C27" s="19">
        <v>49588.959999999999</v>
      </c>
      <c r="D27" s="19">
        <v>16572.39</v>
      </c>
      <c r="E27" s="19">
        <v>30426.77</v>
      </c>
      <c r="F27" s="19">
        <v>42485.98</v>
      </c>
      <c r="G27" s="19">
        <v>27523.15</v>
      </c>
      <c r="H27" s="19">
        <v>36596.97</v>
      </c>
      <c r="I27" s="19">
        <v>68375.78</v>
      </c>
      <c r="J27" s="19">
        <v>60308.97</v>
      </c>
      <c r="K27" s="19">
        <v>47265.69</v>
      </c>
      <c r="L27" s="19">
        <v>58957.15</v>
      </c>
      <c r="M27" s="51">
        <v>69961.789999999994</v>
      </c>
      <c r="N27" s="60">
        <f t="shared" si="0"/>
        <v>530336.89</v>
      </c>
      <c r="O27" s="19">
        <f>SUM('TRT 2006'!B27:M27)</f>
        <v>342325.31999999995</v>
      </c>
      <c r="P27" s="77">
        <f t="shared" si="1"/>
        <v>0.54921900021885639</v>
      </c>
    </row>
    <row r="28" spans="1:16">
      <c r="A28" s="49" t="s">
        <v>37</v>
      </c>
      <c r="B28" s="108">
        <v>81957</v>
      </c>
      <c r="C28" s="108">
        <v>83491</v>
      </c>
      <c r="D28" s="108">
        <v>89590</v>
      </c>
      <c r="E28" s="108">
        <v>121958</v>
      </c>
      <c r="F28" s="108">
        <v>125367</v>
      </c>
      <c r="G28" s="19">
        <v>153046</v>
      </c>
      <c r="H28" s="19">
        <v>221269</v>
      </c>
      <c r="I28" s="19">
        <v>170468</v>
      </c>
      <c r="J28" s="19">
        <v>216349</v>
      </c>
      <c r="K28" s="19">
        <v>169207</v>
      </c>
      <c r="L28" s="19">
        <v>125830</v>
      </c>
      <c r="M28" s="51">
        <v>130317</v>
      </c>
      <c r="N28" s="60">
        <f t="shared" si="0"/>
        <v>1688849</v>
      </c>
      <c r="O28" s="19">
        <f>SUM('TRT 2006'!B28:M28)</f>
        <v>1219803.8999999999</v>
      </c>
      <c r="P28" s="77">
        <f t="shared" si="1"/>
        <v>0.38452500438800041</v>
      </c>
    </row>
    <row r="29" spans="1:16">
      <c r="A29" s="49" t="s">
        <v>38</v>
      </c>
      <c r="B29" s="50">
        <v>12166.19</v>
      </c>
      <c r="C29" s="19">
        <v>69858</v>
      </c>
      <c r="D29" s="19">
        <v>34586.370000000003</v>
      </c>
      <c r="E29" s="19">
        <v>23223.99</v>
      </c>
      <c r="F29" s="19">
        <v>76971.64</v>
      </c>
      <c r="G29" s="19">
        <v>19876.87</v>
      </c>
      <c r="H29" s="19">
        <v>27686.84</v>
      </c>
      <c r="I29" s="19">
        <v>71921.429999999993</v>
      </c>
      <c r="J29" s="19">
        <v>78062.789999999994</v>
      </c>
      <c r="K29" s="19">
        <v>58740.11</v>
      </c>
      <c r="L29" s="19">
        <v>46568.58</v>
      </c>
      <c r="M29" s="51">
        <v>38306.25</v>
      </c>
      <c r="N29" s="60">
        <f t="shared" si="0"/>
        <v>557969.06000000006</v>
      </c>
      <c r="O29" s="19">
        <f>SUM('TRT 2006'!B29:M29)</f>
        <v>354503.06</v>
      </c>
      <c r="P29" s="77">
        <f t="shared" si="1"/>
        <v>0.57394709089394058</v>
      </c>
    </row>
    <row r="30" spans="1:16">
      <c r="A30" s="49" t="s">
        <v>39</v>
      </c>
      <c r="B30" s="50">
        <v>119220.83</v>
      </c>
      <c r="C30" s="19">
        <v>166660.1</v>
      </c>
      <c r="D30" s="19">
        <v>60039.63</v>
      </c>
      <c r="E30" s="19">
        <v>89748.96</v>
      </c>
      <c r="F30" s="19">
        <v>251301.13</v>
      </c>
      <c r="G30" s="19">
        <v>211928.08</v>
      </c>
      <c r="H30" s="19">
        <v>173686.27</v>
      </c>
      <c r="I30" s="19">
        <v>274245.08</v>
      </c>
      <c r="J30" s="19">
        <v>269717.31</v>
      </c>
      <c r="K30" s="19">
        <v>198455.84</v>
      </c>
      <c r="L30" s="19">
        <v>367328.47</v>
      </c>
      <c r="M30" s="51">
        <v>285874.61</v>
      </c>
      <c r="N30" s="60">
        <f t="shared" si="0"/>
        <v>2468206.31</v>
      </c>
      <c r="O30" s="19">
        <f>SUM('TRT 2006'!B30:M30)</f>
        <v>1929554.19</v>
      </c>
      <c r="P30" s="77">
        <f t="shared" si="1"/>
        <v>0.27915884549477199</v>
      </c>
    </row>
    <row r="31" spans="1:16">
      <c r="A31" s="49" t="s">
        <v>40</v>
      </c>
      <c r="B31" s="50">
        <v>2468.38</v>
      </c>
      <c r="C31" s="19">
        <v>8436.01</v>
      </c>
      <c r="D31" s="19">
        <v>473.14</v>
      </c>
      <c r="E31" s="19">
        <v>1645.94</v>
      </c>
      <c r="F31" s="19">
        <v>6231.7</v>
      </c>
      <c r="G31" s="19">
        <v>7759.27</v>
      </c>
      <c r="H31" s="19">
        <v>10300.48</v>
      </c>
      <c r="I31" s="19">
        <v>41709.699999999997</v>
      </c>
      <c r="J31" s="19">
        <v>11200.51</v>
      </c>
      <c r="K31" s="19">
        <v>10690.64</v>
      </c>
      <c r="L31" s="19">
        <v>50715.28</v>
      </c>
      <c r="M31" s="51">
        <v>8103.61</v>
      </c>
      <c r="N31" s="60">
        <f t="shared" si="0"/>
        <v>159734.65999999997</v>
      </c>
      <c r="O31" s="19">
        <f>SUM('TRT 2006'!B31:M31)</f>
        <v>108386.07999999999</v>
      </c>
      <c r="P31" s="77">
        <f t="shared" si="1"/>
        <v>0.47375622404648277</v>
      </c>
    </row>
    <row r="32" spans="1:16" ht="13" thickBot="1">
      <c r="A32" s="53" t="s">
        <v>41</v>
      </c>
      <c r="B32" s="54">
        <v>28845.17</v>
      </c>
      <c r="C32" s="20">
        <v>51590.38</v>
      </c>
      <c r="D32" s="20">
        <v>23223.97</v>
      </c>
      <c r="E32" s="20">
        <v>91298.61</v>
      </c>
      <c r="F32" s="20">
        <v>107918.14</v>
      </c>
      <c r="G32" s="20">
        <v>56862.83</v>
      </c>
      <c r="H32" s="20">
        <v>79041.600000000006</v>
      </c>
      <c r="I32" s="20">
        <v>107790.15</v>
      </c>
      <c r="J32" s="20">
        <v>73527.360000000001</v>
      </c>
      <c r="K32" s="20">
        <v>105215.62</v>
      </c>
      <c r="L32" s="20">
        <v>119991.11</v>
      </c>
      <c r="M32" s="55">
        <v>74131.14</v>
      </c>
      <c r="N32" s="61">
        <f t="shared" si="0"/>
        <v>919436.08000000007</v>
      </c>
      <c r="O32" s="19">
        <f>SUM('TRT 2006'!B32:M32)</f>
        <v>649360.93000000005</v>
      </c>
      <c r="P32" s="78">
        <f>N32/O32-1</f>
        <v>0.41590914624321496</v>
      </c>
    </row>
    <row r="33" spans="1:16" s="154" customFormat="1" ht="14" thickTop="1" thickBot="1">
      <c r="A33" s="182" t="s">
        <v>54</v>
      </c>
      <c r="B33" s="183">
        <f>SUM(B4:B32)</f>
        <v>1723594.23</v>
      </c>
      <c r="C33" s="163">
        <f>SUM(C4:C32)</f>
        <v>2458321.2499999995</v>
      </c>
      <c r="D33" s="163">
        <f t="shared" ref="D33:L33" si="2">SUM(D4:D32)</f>
        <v>2457212.3200000003</v>
      </c>
      <c r="E33" s="163">
        <f t="shared" si="2"/>
        <v>3270147.1799999997</v>
      </c>
      <c r="F33" s="163">
        <f t="shared" si="2"/>
        <v>3904776.6700000004</v>
      </c>
      <c r="G33" s="163">
        <f t="shared" si="2"/>
        <v>2175530.6300000004</v>
      </c>
      <c r="H33" s="163">
        <f t="shared" si="2"/>
        <v>2414327.3499999996</v>
      </c>
      <c r="I33" s="163">
        <f t="shared" si="2"/>
        <v>3167225.0500000007</v>
      </c>
      <c r="J33" s="163">
        <f t="shared" si="2"/>
        <v>2699042.25</v>
      </c>
      <c r="K33" s="163">
        <f t="shared" si="2"/>
        <v>2866748.32</v>
      </c>
      <c r="L33" s="163">
        <f t="shared" si="2"/>
        <v>3302878.4899999993</v>
      </c>
      <c r="M33" s="166">
        <f>SUM(M4:M32)</f>
        <v>2166171.7300000004</v>
      </c>
      <c r="N33" s="184">
        <f>SUM(B33:M33)</f>
        <v>32605975.470000003</v>
      </c>
      <c r="O33" s="163">
        <f>SUM(O4:O32)</f>
        <v>24360960.329999994</v>
      </c>
      <c r="P33" s="178">
        <f>N33/O33-1</f>
        <v>0.33845197514017755</v>
      </c>
    </row>
    <row r="34" spans="1:16">
      <c r="B34" s="28">
        <f>B33/'TRT 2006'!B33-1</f>
        <v>0.63097642824277744</v>
      </c>
      <c r="C34" s="28">
        <f>C33/'TRT 2006'!C33-1</f>
        <v>0.26704077281654848</v>
      </c>
      <c r="D34" s="28">
        <f>D33/'TRT 2006'!D33-1</f>
        <v>0.18987773970675592</v>
      </c>
      <c r="E34" s="28">
        <f>E33/'TRT 2006'!E33-1</f>
        <v>0.60778860543256386</v>
      </c>
      <c r="F34" s="28">
        <f>F33/'TRT 2006'!F33-1</f>
        <v>0.26027053194456018</v>
      </c>
      <c r="G34" s="28">
        <f>G33/'TRT 2006'!G33-1</f>
        <v>4.580221861161049E-2</v>
      </c>
      <c r="H34" s="28">
        <f>H33/'TRT 2006'!H33-1</f>
        <v>0.69503228194992062</v>
      </c>
      <c r="I34" s="28">
        <f>I33/'TRT 2006'!I33-1</f>
        <v>0.35967112789700795</v>
      </c>
      <c r="J34" s="28">
        <f>J33/'TRT 2006'!J33-1</f>
        <v>0.62451080961101169</v>
      </c>
      <c r="K34" s="28">
        <f>K33/'TRT 2006'!K33-1</f>
        <v>0.42146587934707558</v>
      </c>
      <c r="L34" s="28">
        <f>L33/'TRT 2006'!L33-1</f>
        <v>0.37370086081267262</v>
      </c>
      <c r="M34" s="28">
        <f>M33/'TRT 2006'!M33-1</f>
        <v>-3.7250791668445693E-2</v>
      </c>
      <c r="N34" s="28">
        <f>N33/'TRT 2006'!N33-1</f>
        <v>0.33845197514017755</v>
      </c>
    </row>
    <row r="35" spans="1:16">
      <c r="N35" s="100"/>
      <c r="O35" s="100"/>
    </row>
    <row r="36" spans="1:16" ht="21">
      <c r="A36" s="691" t="s">
        <v>85</v>
      </c>
      <c r="B36" s="691"/>
      <c r="C36" s="691"/>
      <c r="D36" s="691"/>
      <c r="E36" s="691"/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</row>
    <row r="37" spans="1:16" ht="13" thickBot="1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6" ht="13" thickBot="1">
      <c r="A38" s="5" t="s">
        <v>42</v>
      </c>
      <c r="B38" s="7" t="s">
        <v>2</v>
      </c>
      <c r="C38" s="6" t="s">
        <v>3</v>
      </c>
      <c r="D38" s="6" t="s">
        <v>4</v>
      </c>
      <c r="E38" s="6" t="s">
        <v>5</v>
      </c>
      <c r="F38" s="6" t="s">
        <v>6</v>
      </c>
      <c r="G38" s="6" t="s">
        <v>7</v>
      </c>
      <c r="H38" s="6" t="s">
        <v>8</v>
      </c>
      <c r="I38" s="6" t="s">
        <v>9</v>
      </c>
      <c r="J38" s="6" t="s">
        <v>10</v>
      </c>
      <c r="K38" s="6" t="s">
        <v>11</v>
      </c>
      <c r="L38" s="6" t="s">
        <v>12</v>
      </c>
      <c r="M38" s="8" t="s">
        <v>13</v>
      </c>
      <c r="N38" s="29" t="s">
        <v>87</v>
      </c>
      <c r="O38" s="6" t="s">
        <v>79</v>
      </c>
      <c r="P38" s="18" t="s">
        <v>16</v>
      </c>
    </row>
    <row r="39" spans="1:16" ht="13" thickBot="1">
      <c r="A39" s="40" t="s">
        <v>31</v>
      </c>
      <c r="B39" s="41">
        <v>126883.85</v>
      </c>
      <c r="C39" s="42">
        <v>107053.25</v>
      </c>
      <c r="D39" s="42">
        <v>130726.07</v>
      </c>
      <c r="E39" s="42">
        <v>172800.91</v>
      </c>
      <c r="F39" s="42">
        <v>193925.44</v>
      </c>
      <c r="G39" s="42">
        <v>130076.98</v>
      </c>
      <c r="H39" s="42">
        <v>152978.85</v>
      </c>
      <c r="I39" s="42">
        <v>165301.21</v>
      </c>
      <c r="J39" s="42">
        <v>144571.66</v>
      </c>
      <c r="K39" s="42">
        <v>178489.13</v>
      </c>
      <c r="L39" s="42">
        <v>157240.20000000001</v>
      </c>
      <c r="M39" s="43">
        <v>135241.76</v>
      </c>
      <c r="N39" s="46">
        <f>SUM(B39:M39)</f>
        <v>1795289.31</v>
      </c>
      <c r="O39" s="114">
        <f>SUM('TRT 2006'!B39:M39)</f>
        <v>1610133.58</v>
      </c>
      <c r="P39" s="115">
        <f>N39/O39-1</f>
        <v>0.11499401807395393</v>
      </c>
    </row>
    <row r="40" spans="1:16">
      <c r="B40" s="28">
        <f>B39/'TRT 2006'!B39-1</f>
        <v>0.35067193038033984</v>
      </c>
      <c r="C40" s="28">
        <f>C39/'TRT 2006'!C39-1</f>
        <v>-4.7985414209815835E-2</v>
      </c>
      <c r="D40" s="28">
        <f>D39/'TRT 2006'!D39-1</f>
        <v>-0.10571066705194843</v>
      </c>
      <c r="E40" s="28">
        <f>E39/'TRT 2006'!E39-1</f>
        <v>0.29166212569091976</v>
      </c>
      <c r="F40" s="28">
        <f>F39/'TRT 2006'!F39-1</f>
        <v>-5.9469475543327599E-2</v>
      </c>
      <c r="G40" s="28">
        <f>G39/'TRT 2006'!G39-1</f>
        <v>-5.0718192211463009E-3</v>
      </c>
      <c r="H40" s="28">
        <f>H39/'TRT 2006'!H39-1</f>
        <v>0.72904405569105379</v>
      </c>
      <c r="I40" s="28">
        <f>I39/'TRT 2006'!I39-1</f>
        <v>0.17814909356951247</v>
      </c>
      <c r="J40" s="28">
        <f>J39/'TRT 2006'!J39-1</f>
        <v>0.42547780862098028</v>
      </c>
      <c r="K40" s="28">
        <f>K39/'TRT 2006'!K39-1</f>
        <v>0.10128387286572393</v>
      </c>
      <c r="L40" s="28">
        <f>L39/'TRT 2006'!L39-1</f>
        <v>0.10053089139529292</v>
      </c>
      <c r="M40" s="28">
        <f>M39/'TRT 2006'!M39-1</f>
        <v>-0.10851118163182516</v>
      </c>
      <c r="N40" s="28">
        <f>N39/'TRT 2006'!N39-1</f>
        <v>0.11499401807395393</v>
      </c>
    </row>
    <row r="44" spans="1:16" ht="21">
      <c r="A44" s="691" t="s">
        <v>86</v>
      </c>
      <c r="B44" s="691"/>
      <c r="C44" s="691"/>
      <c r="D44" s="691"/>
      <c r="E44" s="691"/>
      <c r="F44" s="691"/>
      <c r="G44" s="691"/>
      <c r="H44" s="691"/>
      <c r="I44" s="691"/>
      <c r="J44" s="691"/>
      <c r="K44" s="691"/>
      <c r="L44" s="691"/>
      <c r="M44" s="691"/>
      <c r="N44" s="691"/>
      <c r="O44" s="691"/>
      <c r="P44" s="691"/>
    </row>
    <row r="45" spans="1:16" ht="13" thickBot="1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6" ht="13" thickBot="1">
      <c r="A46" s="5" t="s">
        <v>42</v>
      </c>
      <c r="B46" s="7" t="s">
        <v>2</v>
      </c>
      <c r="C46" s="6" t="s">
        <v>3</v>
      </c>
      <c r="D46" s="6" t="s">
        <v>4</v>
      </c>
      <c r="E46" s="6" t="s">
        <v>5</v>
      </c>
      <c r="F46" s="6" t="s">
        <v>6</v>
      </c>
      <c r="G46" s="6" t="s">
        <v>7</v>
      </c>
      <c r="H46" s="6" t="s">
        <v>8</v>
      </c>
      <c r="I46" s="6" t="s">
        <v>9</v>
      </c>
      <c r="J46" s="6" t="s">
        <v>10</v>
      </c>
      <c r="K46" s="6" t="s">
        <v>11</v>
      </c>
      <c r="L46" s="6" t="s">
        <v>12</v>
      </c>
      <c r="M46" s="8" t="s">
        <v>13</v>
      </c>
      <c r="N46" s="29" t="s">
        <v>79</v>
      </c>
      <c r="O46" s="6" t="s">
        <v>74</v>
      </c>
      <c r="P46" s="18" t="s">
        <v>16</v>
      </c>
    </row>
    <row r="47" spans="1:16" ht="13" thickBot="1">
      <c r="A47" s="40" t="s">
        <v>31</v>
      </c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3"/>
      <c r="N47" s="46">
        <f>SUM(B47:M47)</f>
        <v>0</v>
      </c>
      <c r="O47" s="44" t="e">
        <f>('TRT 2006'!#REF!)</f>
        <v>#REF!</v>
      </c>
      <c r="P47" s="45" t="s">
        <v>46</v>
      </c>
    </row>
    <row r="48" spans="1:16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</sheetData>
  <mergeCells count="3">
    <mergeCell ref="A1:P1"/>
    <mergeCell ref="A36:P36"/>
    <mergeCell ref="A44:P44"/>
  </mergeCells>
  <phoneticPr fontId="0" type="noConversion"/>
  <pageMargins left="0" right="0" top="1" bottom="1" header="0.5" footer="0.5"/>
  <pageSetup scale="7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 enableFormatConditionsCalculation="0">
    <tabColor rgb="FF0070C0"/>
  </sheetPr>
  <dimension ref="A1:P43"/>
  <sheetViews>
    <sheetView topLeftCell="A13" workbookViewId="0">
      <selection activeCell="B30" sqref="B30:M30"/>
    </sheetView>
  </sheetViews>
  <sheetFormatPr baseColWidth="10" defaultColWidth="8.83203125" defaultRowHeight="12" x14ac:dyDescent="0"/>
  <cols>
    <col min="14" max="15" width="11.1640625" bestFit="1" customWidth="1"/>
  </cols>
  <sheetData>
    <row r="1" spans="1:16" ht="21">
      <c r="A1" s="691" t="s">
        <v>78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16" ht="13" thickBot="1">
      <c r="A2" s="47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s="154" customFormat="1" ht="13" thickBot="1">
      <c r="A3" s="40" t="s">
        <v>42</v>
      </c>
      <c r="B3" s="171" t="s">
        <v>2</v>
      </c>
      <c r="C3" s="156" t="s">
        <v>3</v>
      </c>
      <c r="D3" s="156" t="s">
        <v>4</v>
      </c>
      <c r="E3" s="156" t="s">
        <v>5</v>
      </c>
      <c r="F3" s="156" t="s">
        <v>6</v>
      </c>
      <c r="G3" s="156" t="s">
        <v>7</v>
      </c>
      <c r="H3" s="156" t="s">
        <v>8</v>
      </c>
      <c r="I3" s="156" t="s">
        <v>9</v>
      </c>
      <c r="J3" s="156" t="s">
        <v>10</v>
      </c>
      <c r="K3" s="156" t="s">
        <v>11</v>
      </c>
      <c r="L3" s="156" t="s">
        <v>12</v>
      </c>
      <c r="M3" s="158" t="s">
        <v>13</v>
      </c>
      <c r="N3" s="180" t="s">
        <v>79</v>
      </c>
      <c r="O3" s="156" t="s">
        <v>74</v>
      </c>
      <c r="P3" s="161" t="s">
        <v>16</v>
      </c>
    </row>
    <row r="4" spans="1:16">
      <c r="A4" s="49" t="s">
        <v>17</v>
      </c>
      <c r="B4" s="50">
        <v>1258.0999999999999</v>
      </c>
      <c r="C4" s="19">
        <v>17742.52</v>
      </c>
      <c r="D4" s="19">
        <v>1854.09</v>
      </c>
      <c r="E4" s="19">
        <v>1007.38</v>
      </c>
      <c r="F4" s="19">
        <v>15662.54</v>
      </c>
      <c r="G4" s="19">
        <v>1553.69</v>
      </c>
      <c r="H4" s="19">
        <v>1311.46</v>
      </c>
      <c r="I4" s="19">
        <v>27721.56</v>
      </c>
      <c r="J4" s="19">
        <v>2364.2199999999998</v>
      </c>
      <c r="K4" s="19">
        <v>2489.5100000000002</v>
      </c>
      <c r="L4" s="19">
        <v>33902.61</v>
      </c>
      <c r="M4" s="51">
        <v>2128.13</v>
      </c>
      <c r="N4" s="106">
        <f>SUM(B4:M4)</f>
        <v>108995.81000000001</v>
      </c>
      <c r="O4" s="19">
        <f>SUM('TRT 2005'!B4:M4)</f>
        <v>100144.51999999999</v>
      </c>
      <c r="P4" s="77">
        <f>N4/O4-1</f>
        <v>8.8385165758446238E-2</v>
      </c>
    </row>
    <row r="5" spans="1:16">
      <c r="A5" s="49" t="s">
        <v>18</v>
      </c>
      <c r="B5" s="50">
        <v>6295.26</v>
      </c>
      <c r="C5" s="19">
        <v>5813.28</v>
      </c>
      <c r="D5" s="19">
        <v>4964.7700000000004</v>
      </c>
      <c r="E5" s="19">
        <v>3753.53</v>
      </c>
      <c r="F5" s="19">
        <v>6794.68</v>
      </c>
      <c r="G5" s="19">
        <v>5392.88</v>
      </c>
      <c r="H5" s="19">
        <v>6247.12</v>
      </c>
      <c r="I5" s="19">
        <v>11478.25</v>
      </c>
      <c r="J5" s="19">
        <v>8536.11</v>
      </c>
      <c r="K5" s="19">
        <v>9069.4699999999993</v>
      </c>
      <c r="L5" s="19">
        <v>14016.96</v>
      </c>
      <c r="M5" s="51">
        <v>7578.6</v>
      </c>
      <c r="N5" s="60">
        <f t="shared" ref="N5:N33" si="0">SUM(B5:M5)</f>
        <v>89940.91</v>
      </c>
      <c r="O5" s="19">
        <f>SUM('TRT 2005'!B5:M5)</f>
        <v>78613.25</v>
      </c>
      <c r="P5" s="77">
        <f t="shared" ref="P5:P31" si="1">N5/O5-1</f>
        <v>0.14409352113034379</v>
      </c>
    </row>
    <row r="6" spans="1:16">
      <c r="A6" s="49" t="s">
        <v>19</v>
      </c>
      <c r="B6" s="50">
        <v>11514.36</v>
      </c>
      <c r="C6" s="19">
        <v>7024.33</v>
      </c>
      <c r="D6" s="19">
        <v>13580.95</v>
      </c>
      <c r="E6" s="19">
        <v>12653.09</v>
      </c>
      <c r="F6" s="19">
        <v>23426.76</v>
      </c>
      <c r="G6" s="19">
        <v>13668.61</v>
      </c>
      <c r="H6" s="19">
        <v>14746.8</v>
      </c>
      <c r="I6" s="19">
        <v>43852.4</v>
      </c>
      <c r="J6" s="19">
        <v>30299.23</v>
      </c>
      <c r="K6" s="19">
        <v>35768.839999999997</v>
      </c>
      <c r="L6" s="19">
        <v>42526.32</v>
      </c>
      <c r="M6" s="51">
        <v>20788.650000000001</v>
      </c>
      <c r="N6" s="60">
        <f t="shared" si="0"/>
        <v>269850.34000000003</v>
      </c>
      <c r="O6" s="19">
        <f>SUM('TRT 2005'!B6:M6)</f>
        <v>275132.92</v>
      </c>
      <c r="P6" s="77">
        <f t="shared" si="1"/>
        <v>-1.9200101536377301E-2</v>
      </c>
    </row>
    <row r="7" spans="1:16">
      <c r="A7" s="49" t="s">
        <v>20</v>
      </c>
      <c r="B7" s="50">
        <v>13371.97</v>
      </c>
      <c r="C7" s="19">
        <v>15396.83</v>
      </c>
      <c r="D7" s="19">
        <v>24177.85</v>
      </c>
      <c r="E7" s="19">
        <v>5198.21</v>
      </c>
      <c r="F7" s="19">
        <v>14250.58</v>
      </c>
      <c r="G7" s="19">
        <v>18387.7</v>
      </c>
      <c r="H7" s="19">
        <v>3900.85</v>
      </c>
      <c r="I7" s="19">
        <v>38578.17</v>
      </c>
      <c r="J7" s="19">
        <v>7873.23</v>
      </c>
      <c r="K7" s="19">
        <v>25993.73</v>
      </c>
      <c r="L7" s="19">
        <v>32712.18</v>
      </c>
      <c r="M7" s="51">
        <v>11872.4</v>
      </c>
      <c r="N7" s="60">
        <f t="shared" si="0"/>
        <v>211713.69999999998</v>
      </c>
      <c r="O7" s="19">
        <f>SUM('TRT 2005'!B7:M7)</f>
        <v>143060.87999999998</v>
      </c>
      <c r="P7" s="77">
        <f t="shared" si="1"/>
        <v>0.47988534671393057</v>
      </c>
    </row>
    <row r="8" spans="1:16">
      <c r="A8" s="49" t="s">
        <v>21</v>
      </c>
      <c r="B8" s="50">
        <v>975.08</v>
      </c>
      <c r="C8" s="19">
        <v>1460.25</v>
      </c>
      <c r="D8" s="19">
        <v>4243.75</v>
      </c>
      <c r="E8" s="19">
        <v>1584.23</v>
      </c>
      <c r="F8" s="19">
        <v>3670.04</v>
      </c>
      <c r="G8" s="19">
        <v>4514.55</v>
      </c>
      <c r="H8" s="19">
        <v>5092.26</v>
      </c>
      <c r="I8" s="19">
        <v>12212.19</v>
      </c>
      <c r="J8" s="19">
        <v>8957.2999999999993</v>
      </c>
      <c r="K8" s="19">
        <v>6535.74</v>
      </c>
      <c r="L8" s="19">
        <v>11271.01</v>
      </c>
      <c r="M8" s="51">
        <v>4685.24</v>
      </c>
      <c r="N8" s="60">
        <f t="shared" si="0"/>
        <v>65201.639999999992</v>
      </c>
      <c r="O8" s="19">
        <f>SUM('TRT 2005'!B8:M8)</f>
        <v>71009.069999999992</v>
      </c>
      <c r="P8" s="77">
        <f t="shared" si="1"/>
        <v>-8.1784341070795574E-2</v>
      </c>
    </row>
    <row r="9" spans="1:16">
      <c r="A9" s="49" t="s">
        <v>22</v>
      </c>
      <c r="B9" s="50">
        <v>27136</v>
      </c>
      <c r="C9" s="19">
        <v>32434</v>
      </c>
      <c r="D9" s="19">
        <v>23496</v>
      </c>
      <c r="E9" s="19">
        <v>41603</v>
      </c>
      <c r="F9" s="19">
        <v>64928</v>
      </c>
      <c r="G9" s="19">
        <v>44873</v>
      </c>
      <c r="H9" s="19">
        <v>63097</v>
      </c>
      <c r="I9" s="19">
        <v>60405</v>
      </c>
      <c r="J9" s="19">
        <v>75230</v>
      </c>
      <c r="K9" s="19">
        <v>51845</v>
      </c>
      <c r="L9" s="19">
        <v>48718</v>
      </c>
      <c r="M9" s="51">
        <v>89610</v>
      </c>
      <c r="N9" s="60">
        <f t="shared" si="0"/>
        <v>623375</v>
      </c>
      <c r="O9" s="19">
        <f>SUM('TRT 2005'!B9:M9)</f>
        <v>519916.33999999997</v>
      </c>
      <c r="P9" s="77">
        <f t="shared" si="1"/>
        <v>0.19899097612512051</v>
      </c>
    </row>
    <row r="10" spans="1:16">
      <c r="A10" s="49" t="s">
        <v>23</v>
      </c>
      <c r="B10" s="50">
        <v>2929</v>
      </c>
      <c r="C10" s="19">
        <v>2298</v>
      </c>
      <c r="D10" s="19">
        <v>3084</v>
      </c>
      <c r="E10" s="19">
        <v>3031</v>
      </c>
      <c r="F10" s="19">
        <v>5071</v>
      </c>
      <c r="G10" s="19">
        <v>10369</v>
      </c>
      <c r="H10" s="19">
        <v>10759</v>
      </c>
      <c r="I10" s="19">
        <v>9926</v>
      </c>
      <c r="J10" s="19">
        <v>7578</v>
      </c>
      <c r="K10" s="19">
        <v>3504</v>
      </c>
      <c r="L10" s="19">
        <v>2381</v>
      </c>
      <c r="M10" s="51">
        <v>4229</v>
      </c>
      <c r="N10" s="60">
        <f t="shared" si="0"/>
        <v>65159</v>
      </c>
      <c r="O10" s="19">
        <f>SUM('TRT 2005'!B10:M10)</f>
        <v>45019.61</v>
      </c>
      <c r="P10" s="77">
        <f t="shared" si="1"/>
        <v>0.44734705609399983</v>
      </c>
    </row>
    <row r="11" spans="1:16">
      <c r="A11" s="49" t="s">
        <v>51</v>
      </c>
      <c r="B11" s="50">
        <v>2883</v>
      </c>
      <c r="C11" s="19">
        <v>12756</v>
      </c>
      <c r="D11" s="19">
        <v>2858</v>
      </c>
      <c r="E11" s="19">
        <v>6924</v>
      </c>
      <c r="F11" s="19">
        <v>7950</v>
      </c>
      <c r="G11" s="19">
        <v>14693</v>
      </c>
      <c r="H11" s="19">
        <v>27718</v>
      </c>
      <c r="I11" s="19">
        <v>25038</v>
      </c>
      <c r="J11" s="19">
        <v>9800</v>
      </c>
      <c r="K11" s="19">
        <v>30636</v>
      </c>
      <c r="L11" s="19">
        <v>21984</v>
      </c>
      <c r="M11" s="51">
        <v>4475.38</v>
      </c>
      <c r="N11" s="60">
        <f t="shared" si="0"/>
        <v>167715.38</v>
      </c>
      <c r="O11" s="19">
        <f>SUM('TRT 2005'!B11:M11)</f>
        <v>168931.26</v>
      </c>
      <c r="P11" s="77">
        <f t="shared" si="1"/>
        <v>-7.1974837575946582E-3</v>
      </c>
    </row>
    <row r="12" spans="1:16">
      <c r="A12" s="49" t="s">
        <v>24</v>
      </c>
      <c r="B12" s="50">
        <v>16839.48</v>
      </c>
      <c r="C12" s="19">
        <v>15543.21</v>
      </c>
      <c r="D12" s="19">
        <v>9435.4599999999991</v>
      </c>
      <c r="E12" s="19">
        <v>6749.87</v>
      </c>
      <c r="F12" s="19">
        <v>16862.63</v>
      </c>
      <c r="G12" s="19">
        <v>32307.24</v>
      </c>
      <c r="H12" s="19">
        <v>55113.21</v>
      </c>
      <c r="I12" s="19">
        <v>93431.03</v>
      </c>
      <c r="J12" s="19">
        <v>61411.25</v>
      </c>
      <c r="K12" s="19">
        <v>71184.570000000007</v>
      </c>
      <c r="L12" s="19">
        <v>138354.35</v>
      </c>
      <c r="M12" s="51">
        <v>51783.37</v>
      </c>
      <c r="N12" s="60">
        <f t="shared" si="0"/>
        <v>569015.67000000004</v>
      </c>
      <c r="O12" s="19">
        <f>SUM('TRT 2005'!B12:M12)</f>
        <v>546898.5</v>
      </c>
      <c r="P12" s="77">
        <f t="shared" si="1"/>
        <v>4.0441087331561709E-2</v>
      </c>
    </row>
    <row r="13" spans="1:16">
      <c r="A13" s="49" t="s">
        <v>25</v>
      </c>
      <c r="B13" s="50">
        <v>39868</v>
      </c>
      <c r="C13" s="19">
        <v>39869</v>
      </c>
      <c r="D13" s="19">
        <v>39869</v>
      </c>
      <c r="E13" s="19">
        <v>141753</v>
      </c>
      <c r="F13" s="19">
        <v>141753</v>
      </c>
      <c r="G13" s="19">
        <v>141753</v>
      </c>
      <c r="H13" s="19">
        <v>121098</v>
      </c>
      <c r="I13" s="19">
        <v>121098</v>
      </c>
      <c r="J13" s="19">
        <v>121098</v>
      </c>
      <c r="K13" s="19">
        <v>62386</v>
      </c>
      <c r="L13" s="19">
        <v>62386</v>
      </c>
      <c r="M13" s="51">
        <v>62386</v>
      </c>
      <c r="N13" s="60">
        <f t="shared" si="0"/>
        <v>1095317</v>
      </c>
      <c r="O13" s="19">
        <f>SUM('TRT 2005'!B13:M13)</f>
        <v>996535</v>
      </c>
      <c r="P13" s="77">
        <f t="shared" si="1"/>
        <v>9.9125469752693096E-2</v>
      </c>
    </row>
    <row r="14" spans="1:16">
      <c r="A14" s="49" t="s">
        <v>26</v>
      </c>
      <c r="B14" s="50">
        <v>17542.18</v>
      </c>
      <c r="C14" s="19">
        <v>44135.64</v>
      </c>
      <c r="D14" s="19">
        <v>27342.99</v>
      </c>
      <c r="E14" s="19">
        <v>27906.92</v>
      </c>
      <c r="F14" s="19">
        <v>67750.259999999995</v>
      </c>
      <c r="G14" s="19">
        <v>29332.15</v>
      </c>
      <c r="H14" s="19">
        <v>31836.48</v>
      </c>
      <c r="I14" s="19">
        <v>91815.56</v>
      </c>
      <c r="J14" s="19">
        <v>50712.639999999999</v>
      </c>
      <c r="K14" s="19">
        <v>45338.14</v>
      </c>
      <c r="L14" s="19">
        <v>91445.43</v>
      </c>
      <c r="M14" s="51">
        <v>23756.98</v>
      </c>
      <c r="N14" s="60">
        <f t="shared" si="0"/>
        <v>548915.37</v>
      </c>
      <c r="O14" s="19">
        <f>SUM('TRT 2005'!B14:M14)</f>
        <v>531697.84000000008</v>
      </c>
      <c r="P14" s="77">
        <f t="shared" si="1"/>
        <v>3.2382170294315893E-2</v>
      </c>
    </row>
    <row r="15" spans="1:16">
      <c r="A15" s="49" t="s">
        <v>27</v>
      </c>
      <c r="B15" s="50">
        <v>55.37</v>
      </c>
      <c r="C15" s="19">
        <v>11610.41</v>
      </c>
      <c r="D15" s="19">
        <v>12.6</v>
      </c>
      <c r="E15" s="19"/>
      <c r="F15" s="19">
        <v>10252.959999999999</v>
      </c>
      <c r="G15" s="19"/>
      <c r="H15" s="19">
        <v>443.99</v>
      </c>
      <c r="I15" s="19">
        <v>14881.35</v>
      </c>
      <c r="J15" s="19">
        <v>1150.79</v>
      </c>
      <c r="K15" s="19">
        <v>2422.73</v>
      </c>
      <c r="L15" s="19">
        <v>21591.32</v>
      </c>
      <c r="M15" s="51"/>
      <c r="N15" s="60">
        <f t="shared" si="0"/>
        <v>62421.520000000004</v>
      </c>
      <c r="O15" s="19">
        <f>SUM('TRT 2005'!B15:L15)</f>
        <v>63719.17</v>
      </c>
      <c r="P15" s="77">
        <f t="shared" si="1"/>
        <v>-2.0365142860460872E-2</v>
      </c>
    </row>
    <row r="16" spans="1:16">
      <c r="A16" s="49" t="s">
        <v>28</v>
      </c>
      <c r="B16" s="50">
        <v>19194.77</v>
      </c>
      <c r="C16" s="19">
        <v>22604.2</v>
      </c>
      <c r="D16" s="19">
        <v>6739.99</v>
      </c>
      <c r="E16" s="19">
        <v>6619.27</v>
      </c>
      <c r="F16" s="19">
        <v>17617.77</v>
      </c>
      <c r="G16" s="19">
        <v>24282.31</v>
      </c>
      <c r="H16" s="19">
        <v>25231.47</v>
      </c>
      <c r="I16" s="19">
        <v>68126.149999999994</v>
      </c>
      <c r="J16" s="19">
        <v>34359</v>
      </c>
      <c r="K16" s="19">
        <v>37049.1</v>
      </c>
      <c r="L16" s="19">
        <v>73775.14</v>
      </c>
      <c r="M16" s="51">
        <v>36600.699999999997</v>
      </c>
      <c r="N16" s="60">
        <f t="shared" si="0"/>
        <v>372199.87</v>
      </c>
      <c r="O16" s="19">
        <f>SUM('TRT 2005'!B16:M16)</f>
        <v>348839.98</v>
      </c>
      <c r="P16" s="77">
        <f t="shared" si="1"/>
        <v>6.6964486123408218E-2</v>
      </c>
    </row>
    <row r="17" spans="1:16">
      <c r="A17" s="49" t="s">
        <v>52</v>
      </c>
      <c r="B17" s="50">
        <v>5192.5</v>
      </c>
      <c r="C17" s="19">
        <v>7296.55</v>
      </c>
      <c r="D17" s="19">
        <v>5415</v>
      </c>
      <c r="E17" s="19">
        <v>2622.29</v>
      </c>
      <c r="F17" s="19">
        <v>9201.11</v>
      </c>
      <c r="G17" s="19">
        <v>5625.95</v>
      </c>
      <c r="H17" s="19">
        <v>5031.6099999999997</v>
      </c>
      <c r="I17" s="19">
        <v>21057.360000000001</v>
      </c>
      <c r="J17" s="19">
        <v>361.17</v>
      </c>
      <c r="K17" s="19">
        <v>7650.09</v>
      </c>
      <c r="L17" s="19">
        <v>21011.32</v>
      </c>
      <c r="M17" s="51">
        <v>10752.39</v>
      </c>
      <c r="N17" s="60">
        <f t="shared" si="0"/>
        <v>101217.34000000001</v>
      </c>
      <c r="O17" s="19">
        <f>SUM('TRT 2005'!B17:M17)</f>
        <v>86601.77</v>
      </c>
      <c r="P17" s="77">
        <f t="shared" si="1"/>
        <v>0.16876756675989424</v>
      </c>
    </row>
    <row r="18" spans="1:16">
      <c r="A18" s="49" t="s">
        <v>29</v>
      </c>
      <c r="B18" s="50">
        <v>13.69</v>
      </c>
      <c r="C18" s="19">
        <v>103.39</v>
      </c>
      <c r="D18" s="19">
        <v>0.36</v>
      </c>
      <c r="E18" s="19"/>
      <c r="F18" s="19">
        <v>18.54</v>
      </c>
      <c r="G18" s="19"/>
      <c r="H18" s="19">
        <v>117.43</v>
      </c>
      <c r="I18" s="19">
        <v>603.42999999999995</v>
      </c>
      <c r="J18" s="19">
        <v>750.68</v>
      </c>
      <c r="K18" s="19"/>
      <c r="L18" s="19">
        <v>1222.24</v>
      </c>
      <c r="M18" s="51"/>
      <c r="N18" s="60">
        <f t="shared" si="0"/>
        <v>2829.76</v>
      </c>
      <c r="O18" s="19">
        <f>SUM('TRT 2005'!B18:M18)</f>
        <v>1440.5</v>
      </c>
      <c r="P18" s="77">
        <f t="shared" si="1"/>
        <v>0.96442901770218681</v>
      </c>
    </row>
    <row r="19" spans="1:16">
      <c r="A19" s="49" t="s">
        <v>53</v>
      </c>
      <c r="B19" s="50">
        <v>182.03</v>
      </c>
      <c r="C19" s="19">
        <v>1027.92</v>
      </c>
      <c r="D19" s="19">
        <v>25.38</v>
      </c>
      <c r="E19" s="19">
        <v>1240.8399999999999</v>
      </c>
      <c r="F19" s="19">
        <v>137.74</v>
      </c>
      <c r="G19" s="19">
        <v>200.26</v>
      </c>
      <c r="H19" s="19">
        <v>398.49</v>
      </c>
      <c r="I19" s="19">
        <v>1964.35</v>
      </c>
      <c r="J19" s="19">
        <v>782.59</v>
      </c>
      <c r="K19" s="19">
        <v>2263.8200000000002</v>
      </c>
      <c r="L19" s="19">
        <v>4805.01</v>
      </c>
      <c r="M19" s="51">
        <v>1701.57</v>
      </c>
      <c r="N19" s="60">
        <f t="shared" si="0"/>
        <v>14730</v>
      </c>
      <c r="O19" s="19">
        <f>SUM('TRT 2005'!B19:M19)</f>
        <v>11629.96</v>
      </c>
      <c r="P19" s="77">
        <f t="shared" si="1"/>
        <v>0.26655637680611122</v>
      </c>
    </row>
    <row r="20" spans="1:16">
      <c r="A20" s="49" t="s">
        <v>30</v>
      </c>
      <c r="B20" s="50">
        <v>1270</v>
      </c>
      <c r="C20" s="19">
        <v>2032</v>
      </c>
      <c r="D20" s="19">
        <v>0.22</v>
      </c>
      <c r="E20" s="19">
        <v>481</v>
      </c>
      <c r="F20" s="19">
        <v>3832</v>
      </c>
      <c r="G20" s="19">
        <v>1073.6199999999999</v>
      </c>
      <c r="H20" s="19">
        <v>138.91999999999999</v>
      </c>
      <c r="I20" s="19">
        <v>53.9</v>
      </c>
      <c r="J20" s="19"/>
      <c r="K20" s="19">
        <v>13720</v>
      </c>
      <c r="L20" s="19">
        <v>13720</v>
      </c>
      <c r="M20" s="51">
        <v>13720</v>
      </c>
      <c r="N20" s="60">
        <f t="shared" si="0"/>
        <v>50041.66</v>
      </c>
      <c r="O20" s="19">
        <f>SUM('TRT 2005'!B20:M20)</f>
        <v>80145.31</v>
      </c>
      <c r="P20" s="77">
        <f t="shared" si="1"/>
        <v>-0.37561337026458563</v>
      </c>
    </row>
    <row r="21" spans="1:16">
      <c r="A21" s="49" t="s">
        <v>31</v>
      </c>
      <c r="B21" s="50">
        <v>563612.42000000004</v>
      </c>
      <c r="C21" s="19">
        <v>674699.78</v>
      </c>
      <c r="D21" s="19">
        <v>877081</v>
      </c>
      <c r="E21" s="19">
        <v>802687.07</v>
      </c>
      <c r="F21" s="19">
        <v>1237178.6200000001</v>
      </c>
      <c r="G21" s="19">
        <v>784475.13</v>
      </c>
      <c r="H21" s="19">
        <v>530844.28</v>
      </c>
      <c r="I21" s="19">
        <v>841848.72</v>
      </c>
      <c r="J21" s="19">
        <v>608508.19999999995</v>
      </c>
      <c r="K21" s="19">
        <v>972485.19</v>
      </c>
      <c r="L21" s="19">
        <v>857254.75</v>
      </c>
      <c r="M21" s="51">
        <v>1289520.8799999999</v>
      </c>
      <c r="N21" s="60">
        <f t="shared" si="0"/>
        <v>10040196.039999999</v>
      </c>
      <c r="O21" s="19">
        <f>SUM('TRT 2005'!B21:M21)</f>
        <v>8277348.1299999999</v>
      </c>
      <c r="P21" s="77">
        <f t="shared" si="1"/>
        <v>0.21297254655882147</v>
      </c>
    </row>
    <row r="22" spans="1:16">
      <c r="A22" s="49" t="s">
        <v>45</v>
      </c>
      <c r="B22" s="50">
        <v>6819.58</v>
      </c>
      <c r="C22" s="19">
        <v>17117.57</v>
      </c>
      <c r="D22" s="19">
        <v>7710.95</v>
      </c>
      <c r="E22" s="19">
        <v>4095.44</v>
      </c>
      <c r="F22" s="19">
        <v>19606.32</v>
      </c>
      <c r="G22" s="19">
        <v>17536.509999999998</v>
      </c>
      <c r="H22" s="19">
        <v>24929.23</v>
      </c>
      <c r="I22" s="19">
        <v>46957.49</v>
      </c>
      <c r="J22" s="19">
        <v>23762.52</v>
      </c>
      <c r="K22" s="19">
        <v>21308.14</v>
      </c>
      <c r="L22" s="19">
        <v>54947.23</v>
      </c>
      <c r="M22" s="51">
        <v>22708.14</v>
      </c>
      <c r="N22" s="60">
        <f t="shared" si="0"/>
        <v>267499.12</v>
      </c>
      <c r="O22" s="19">
        <f>SUM('TRT 2005'!B22:M22)</f>
        <v>248557.08</v>
      </c>
      <c r="P22" s="77">
        <f t="shared" si="1"/>
        <v>7.6208008236981151E-2</v>
      </c>
    </row>
    <row r="23" spans="1:16">
      <c r="A23" s="49" t="s">
        <v>32</v>
      </c>
      <c r="B23" s="50">
        <v>728.06</v>
      </c>
      <c r="C23" s="19">
        <v>6821.51</v>
      </c>
      <c r="D23" s="19">
        <v>399.02</v>
      </c>
      <c r="E23" s="19">
        <v>534.14</v>
      </c>
      <c r="F23" s="19">
        <v>5687.94</v>
      </c>
      <c r="G23" s="19"/>
      <c r="H23" s="19">
        <v>4368.75</v>
      </c>
      <c r="I23" s="19">
        <v>7294.23</v>
      </c>
      <c r="J23" s="19">
        <v>2109.4899999999998</v>
      </c>
      <c r="K23" s="19">
        <v>195</v>
      </c>
      <c r="L23" s="19">
        <v>8186.44</v>
      </c>
      <c r="M23" s="51">
        <v>605.05999999999995</v>
      </c>
      <c r="N23" s="60">
        <f t="shared" si="0"/>
        <v>36929.64</v>
      </c>
      <c r="O23" s="19">
        <f>SUM('TRT 2005'!B23:M23)</f>
        <v>40472.15</v>
      </c>
      <c r="P23" s="77">
        <f t="shared" si="1"/>
        <v>-8.7529572805002953E-2</v>
      </c>
    </row>
    <row r="24" spans="1:16">
      <c r="A24" s="49" t="s">
        <v>33</v>
      </c>
      <c r="B24" s="50">
        <v>8759.49</v>
      </c>
      <c r="C24" s="19">
        <v>16658.66</v>
      </c>
      <c r="D24" s="19">
        <v>9667.08</v>
      </c>
      <c r="E24" s="19">
        <v>4209.92</v>
      </c>
      <c r="F24" s="19">
        <v>18426.599999999999</v>
      </c>
      <c r="G24" s="19">
        <v>12429.47</v>
      </c>
      <c r="H24" s="19">
        <v>18763.740000000002</v>
      </c>
      <c r="I24" s="19">
        <v>41932.26</v>
      </c>
      <c r="J24" s="19">
        <v>19691.05</v>
      </c>
      <c r="K24" s="19">
        <v>15345.09</v>
      </c>
      <c r="L24" s="19">
        <v>42701.7</v>
      </c>
      <c r="M24" s="51">
        <v>16964.68</v>
      </c>
      <c r="N24" s="60">
        <f t="shared" si="0"/>
        <v>225549.74</v>
      </c>
      <c r="O24" s="19">
        <f>SUM('TRT 2005'!B24:M24)</f>
        <v>217792.81999999998</v>
      </c>
      <c r="P24" s="77">
        <f t="shared" si="1"/>
        <v>3.5616050152617484E-2</v>
      </c>
    </row>
    <row r="25" spans="1:16">
      <c r="A25" s="49" t="s">
        <v>34</v>
      </c>
      <c r="B25" s="50">
        <v>58610.23</v>
      </c>
      <c r="C25" s="19">
        <v>671276.76</v>
      </c>
      <c r="D25" s="19">
        <v>747079.13</v>
      </c>
      <c r="E25" s="19">
        <v>721164.83</v>
      </c>
      <c r="F25" s="19">
        <v>884832.72</v>
      </c>
      <c r="G25" s="19">
        <v>667759.66</v>
      </c>
      <c r="H25" s="19">
        <v>61960.14</v>
      </c>
      <c r="I25" s="19">
        <v>155548.48000000001</v>
      </c>
      <c r="J25" s="19">
        <v>200432.36</v>
      </c>
      <c r="K25" s="19">
        <v>161739.92000000001</v>
      </c>
      <c r="L25" s="19">
        <v>146570.63</v>
      </c>
      <c r="M25" s="51">
        <v>124398.35</v>
      </c>
      <c r="N25" s="60">
        <f t="shared" si="0"/>
        <v>4601373.21</v>
      </c>
      <c r="O25" s="19">
        <f>SUM('TRT 2005'!B25:M25)</f>
        <v>4068222.0699999994</v>
      </c>
      <c r="P25" s="77">
        <f t="shared" si="1"/>
        <v>0.13105261483427344</v>
      </c>
    </row>
    <row r="26" spans="1:16">
      <c r="A26" s="49" t="s">
        <v>35</v>
      </c>
      <c r="B26" s="50">
        <v>6574.34</v>
      </c>
      <c r="C26" s="19">
        <v>9517.65</v>
      </c>
      <c r="D26" s="19">
        <v>7200.86</v>
      </c>
      <c r="E26" s="19">
        <v>10232.94</v>
      </c>
      <c r="F26" s="19">
        <v>16221.5</v>
      </c>
      <c r="G26" s="19">
        <v>11310.38</v>
      </c>
      <c r="H26" s="19">
        <v>11031.94</v>
      </c>
      <c r="I26" s="19">
        <v>23139.86</v>
      </c>
      <c r="J26" s="19">
        <v>11093.33</v>
      </c>
      <c r="K26" s="19">
        <v>25556.19</v>
      </c>
      <c r="L26" s="19">
        <v>22425.52</v>
      </c>
      <c r="M26" s="51">
        <v>12534.62</v>
      </c>
      <c r="N26" s="60">
        <f t="shared" si="0"/>
        <v>166839.12999999998</v>
      </c>
      <c r="O26" s="19">
        <f>SUM('TRT 2005'!B26:M26)</f>
        <v>140838.65999999997</v>
      </c>
      <c r="P26" s="77">
        <f t="shared" si="1"/>
        <v>0.1846117394187079</v>
      </c>
    </row>
    <row r="27" spans="1:16">
      <c r="A27" s="49" t="s">
        <v>36</v>
      </c>
      <c r="B27" s="50">
        <v>16051.68</v>
      </c>
      <c r="C27" s="19">
        <v>30465.75</v>
      </c>
      <c r="D27" s="19">
        <v>15642.47</v>
      </c>
      <c r="E27" s="19">
        <v>13163.29</v>
      </c>
      <c r="F27" s="19">
        <v>27325.42</v>
      </c>
      <c r="G27" s="19">
        <v>19271.39</v>
      </c>
      <c r="H27" s="19">
        <v>18014.68</v>
      </c>
      <c r="I27" s="19">
        <v>55620.06</v>
      </c>
      <c r="J27" s="19">
        <v>27082.18</v>
      </c>
      <c r="K27" s="19">
        <v>30565.77</v>
      </c>
      <c r="L27" s="19">
        <v>62810.13</v>
      </c>
      <c r="M27" s="51">
        <v>26312.5</v>
      </c>
      <c r="N27" s="60">
        <f t="shared" si="0"/>
        <v>342325.31999999995</v>
      </c>
      <c r="O27" s="19">
        <f>SUM('TRT 2005'!B27:M27)</f>
        <v>242048.37999999998</v>
      </c>
      <c r="P27" s="77">
        <f t="shared" si="1"/>
        <v>0.41428469795996969</v>
      </c>
    </row>
    <row r="28" spans="1:16">
      <c r="A28" s="49" t="s">
        <v>37</v>
      </c>
      <c r="B28" s="50">
        <v>88438</v>
      </c>
      <c r="C28" s="19">
        <v>44677</v>
      </c>
      <c r="D28" s="19">
        <v>103538</v>
      </c>
      <c r="E28" s="19">
        <v>72469</v>
      </c>
      <c r="F28" s="19">
        <v>129270</v>
      </c>
      <c r="G28" s="19">
        <v>16229</v>
      </c>
      <c r="H28" s="19">
        <v>172265</v>
      </c>
      <c r="I28" s="19">
        <v>101756</v>
      </c>
      <c r="J28" s="19">
        <v>95879</v>
      </c>
      <c r="K28" s="19">
        <v>135858.9</v>
      </c>
      <c r="L28" s="19">
        <v>121015</v>
      </c>
      <c r="M28" s="51">
        <v>138409</v>
      </c>
      <c r="N28" s="60">
        <f t="shared" si="0"/>
        <v>1219803.8999999999</v>
      </c>
      <c r="O28" s="19">
        <f>SUM('TRT 2005'!B28:M28)</f>
        <v>998625</v>
      </c>
      <c r="P28" s="77">
        <f t="shared" si="1"/>
        <v>0.22148343972962814</v>
      </c>
    </row>
    <row r="29" spans="1:16">
      <c r="A29" s="49" t="s">
        <v>38</v>
      </c>
      <c r="B29" s="50">
        <v>10473.459999999999</v>
      </c>
      <c r="C29" s="19">
        <v>26290.2</v>
      </c>
      <c r="D29" s="19">
        <v>20218.259999999998</v>
      </c>
      <c r="E29" s="19">
        <v>18101.91</v>
      </c>
      <c r="F29" s="19">
        <v>36979.120000000003</v>
      </c>
      <c r="G29" s="19">
        <v>13633.63</v>
      </c>
      <c r="H29" s="19">
        <v>12424.75</v>
      </c>
      <c r="I29" s="19">
        <v>53572.85</v>
      </c>
      <c r="J29" s="19">
        <v>36338.15</v>
      </c>
      <c r="K29" s="19">
        <v>28596.799999999999</v>
      </c>
      <c r="L29" s="19">
        <v>76247.8</v>
      </c>
      <c r="M29" s="51">
        <v>21626.13</v>
      </c>
      <c r="N29" s="60">
        <f t="shared" si="0"/>
        <v>354503.06</v>
      </c>
      <c r="O29" s="19">
        <f>SUM('TRT 2005'!B29:M29)</f>
        <v>253324.08000000002</v>
      </c>
      <c r="P29" s="77">
        <f t="shared" si="1"/>
        <v>0.39940529933040692</v>
      </c>
    </row>
    <row r="30" spans="1:16">
      <c r="A30" s="49" t="s">
        <v>39</v>
      </c>
      <c r="B30" s="50">
        <v>91150.61</v>
      </c>
      <c r="C30" s="19">
        <v>146453.07</v>
      </c>
      <c r="D30" s="19">
        <v>75015.25</v>
      </c>
      <c r="E30" s="19">
        <v>84472.4</v>
      </c>
      <c r="F30" s="19">
        <v>232462.69</v>
      </c>
      <c r="G30" s="19">
        <v>144735.44</v>
      </c>
      <c r="H30" s="19">
        <v>150891.5</v>
      </c>
      <c r="I30" s="19">
        <v>250823.53</v>
      </c>
      <c r="J30" s="19">
        <v>152825.04999999999</v>
      </c>
      <c r="K30" s="19">
        <v>138113.26999999999</v>
      </c>
      <c r="L30" s="19">
        <v>269996.69</v>
      </c>
      <c r="M30" s="51">
        <v>192614.69</v>
      </c>
      <c r="N30" s="60">
        <f t="shared" si="0"/>
        <v>1929554.19</v>
      </c>
      <c r="O30" s="19">
        <f>SUM('TRT 2005'!B30:M30)</f>
        <v>1698764.6</v>
      </c>
      <c r="P30" s="77">
        <f t="shared" si="1"/>
        <v>0.13585731065975826</v>
      </c>
    </row>
    <row r="31" spans="1:16">
      <c r="A31" s="49" t="s">
        <v>40</v>
      </c>
      <c r="B31" s="50">
        <v>3842.95</v>
      </c>
      <c r="C31" s="19">
        <v>10468.379999999999</v>
      </c>
      <c r="D31" s="19">
        <v>2186.44</v>
      </c>
      <c r="E31" s="19">
        <v>852.68</v>
      </c>
      <c r="F31" s="19">
        <v>6155.9</v>
      </c>
      <c r="G31" s="19">
        <v>4229.57</v>
      </c>
      <c r="H31" s="19">
        <v>6294.74</v>
      </c>
      <c r="I31" s="19">
        <v>27032.6</v>
      </c>
      <c r="J31" s="19">
        <v>3852.93</v>
      </c>
      <c r="K31" s="19">
        <v>5879.86</v>
      </c>
      <c r="L31" s="19">
        <v>27057.599999999999</v>
      </c>
      <c r="M31" s="51">
        <v>10532.43</v>
      </c>
      <c r="N31" s="60">
        <f t="shared" si="0"/>
        <v>108386.07999999999</v>
      </c>
      <c r="O31" s="19">
        <f>SUM('TRT 2005'!B31:M31)</f>
        <v>98006.3</v>
      </c>
      <c r="P31" s="77">
        <f t="shared" si="1"/>
        <v>0.10590931399307979</v>
      </c>
    </row>
    <row r="32" spans="1:16" ht="13" thickBot="1">
      <c r="A32" s="53" t="s">
        <v>41</v>
      </c>
      <c r="B32" s="54">
        <v>35205.11</v>
      </c>
      <c r="C32" s="20">
        <v>46613.04</v>
      </c>
      <c r="D32" s="20">
        <v>32257.599999999999</v>
      </c>
      <c r="E32" s="20">
        <v>38829.760000000002</v>
      </c>
      <c r="F32" s="20">
        <v>75037.42</v>
      </c>
      <c r="G32" s="20">
        <v>40613.4</v>
      </c>
      <c r="H32" s="20">
        <v>40283.949999999997</v>
      </c>
      <c r="I32" s="20">
        <v>81636.460000000006</v>
      </c>
      <c r="J32" s="20">
        <v>58610.77</v>
      </c>
      <c r="K32" s="20">
        <v>73254.06</v>
      </c>
      <c r="L32" s="20">
        <v>79328.78</v>
      </c>
      <c r="M32" s="55">
        <v>47690.58</v>
      </c>
      <c r="N32" s="61">
        <f t="shared" si="0"/>
        <v>649360.93000000005</v>
      </c>
      <c r="O32" s="19">
        <f>SUM('TRT 2005'!B32:M32)</f>
        <v>537785.06999999995</v>
      </c>
      <c r="P32" s="78">
        <f>N32/O32-1</f>
        <v>0.20747295941108979</v>
      </c>
    </row>
    <row r="33" spans="1:16" s="154" customFormat="1" ht="14" thickTop="1" thickBot="1">
      <c r="A33" s="182" t="s">
        <v>54</v>
      </c>
      <c r="B33" s="183">
        <f>SUM(B4:B32)</f>
        <v>1056786.72</v>
      </c>
      <c r="C33" s="163">
        <f>SUM(C4:C32)</f>
        <v>1940206.9</v>
      </c>
      <c r="D33" s="163">
        <f t="shared" ref="D33:L33" si="2">SUM(D4:D32)</f>
        <v>2065096.47</v>
      </c>
      <c r="E33" s="163">
        <f t="shared" si="2"/>
        <v>2033941.0099999995</v>
      </c>
      <c r="F33" s="163">
        <f t="shared" si="2"/>
        <v>3098363.86</v>
      </c>
      <c r="G33" s="163">
        <f t="shared" si="2"/>
        <v>2080250.5399999996</v>
      </c>
      <c r="H33" s="163">
        <f t="shared" si="2"/>
        <v>1424354.7899999998</v>
      </c>
      <c r="I33" s="163">
        <f t="shared" si="2"/>
        <v>2329405.2400000002</v>
      </c>
      <c r="J33" s="163">
        <f t="shared" si="2"/>
        <v>1661449.24</v>
      </c>
      <c r="K33" s="163">
        <f t="shared" si="2"/>
        <v>2016754.93</v>
      </c>
      <c r="L33" s="163">
        <f t="shared" si="2"/>
        <v>2404365.16</v>
      </c>
      <c r="M33" s="166">
        <f>SUM(M4:M32)</f>
        <v>2249985.4700000002</v>
      </c>
      <c r="N33" s="184">
        <f t="shared" si="0"/>
        <v>24360960.329999994</v>
      </c>
      <c r="O33" s="168">
        <f>SUM(O4:O32)</f>
        <v>20891120.219999999</v>
      </c>
      <c r="P33" s="178">
        <f>N33/O33-1</f>
        <v>0.16609162521970289</v>
      </c>
    </row>
    <row r="34" spans="1:16">
      <c r="B34" s="28">
        <f>B33/'TRT 2003'!B33-1</f>
        <v>0.25393224174280671</v>
      </c>
      <c r="C34" s="28">
        <f>C33/'TRT 2003'!C33-1</f>
        <v>0.21671005918080022</v>
      </c>
      <c r="D34" s="28">
        <f>D33/'TRT 2003'!D33-1</f>
        <v>0.36122036399164625</v>
      </c>
      <c r="E34" s="28">
        <f>E33/'TRT 2003'!E33-1</f>
        <v>0.3640202049575576</v>
      </c>
      <c r="F34" s="28">
        <f>F33/'TRT 2003'!F33-1</f>
        <v>0.38232449185140682</v>
      </c>
      <c r="G34" s="28">
        <f>G33/'TRT 2003'!G33-1</f>
        <v>1.0010346989186401</v>
      </c>
      <c r="H34" s="28">
        <f>H33/'TRT 2003'!H33-1</f>
        <v>0.40837816221165246</v>
      </c>
      <c r="I34" s="28">
        <f>I33/'TRT 2003'!I33-1</f>
        <v>0.33872787230447576</v>
      </c>
      <c r="J34" s="28">
        <f>J33/'TRT 2003'!J33-1</f>
        <v>0.30474807737160825</v>
      </c>
      <c r="K34" s="28">
        <f>K33/'TRT 2003'!K33-1</f>
        <v>0.64159071318161343</v>
      </c>
      <c r="L34" s="28">
        <f>L33/'TRT 2003'!L33-1</f>
        <v>0.25740859415979545</v>
      </c>
      <c r="M34" s="28">
        <f>M33/'TRT 2003'!M33-1</f>
        <v>0.79121027063992688</v>
      </c>
      <c r="N34" s="28">
        <f>N33/'TRT 2003'!N33-1</f>
        <v>0.3453923635756333</v>
      </c>
    </row>
    <row r="35" spans="1:16">
      <c r="N35" s="100"/>
      <c r="O35" s="100"/>
    </row>
    <row r="36" spans="1:16" ht="21">
      <c r="A36" s="691" t="s">
        <v>80</v>
      </c>
      <c r="B36" s="691"/>
      <c r="C36" s="691"/>
      <c r="D36" s="691"/>
      <c r="E36" s="691"/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</row>
    <row r="37" spans="1:16" ht="13" thickBot="1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6" s="154" customFormat="1" ht="12.75" customHeight="1" thickBot="1">
      <c r="A38" s="40" t="s">
        <v>42</v>
      </c>
      <c r="B38" s="171" t="s">
        <v>2</v>
      </c>
      <c r="C38" s="156" t="s">
        <v>3</v>
      </c>
      <c r="D38" s="156" t="s">
        <v>4</v>
      </c>
      <c r="E38" s="156" t="s">
        <v>5</v>
      </c>
      <c r="F38" s="156" t="s">
        <v>6</v>
      </c>
      <c r="G38" s="156" t="s">
        <v>7</v>
      </c>
      <c r="H38" s="156" t="s">
        <v>8</v>
      </c>
      <c r="I38" s="156" t="s">
        <v>9</v>
      </c>
      <c r="J38" s="156" t="s">
        <v>10</v>
      </c>
      <c r="K38" s="156" t="s">
        <v>11</v>
      </c>
      <c r="L38" s="156" t="s">
        <v>12</v>
      </c>
      <c r="M38" s="158" t="s">
        <v>13</v>
      </c>
      <c r="N38" s="181" t="s">
        <v>79</v>
      </c>
      <c r="O38" s="156" t="s">
        <v>74</v>
      </c>
      <c r="P38" s="161" t="s">
        <v>16</v>
      </c>
    </row>
    <row r="39" spans="1:16" ht="13" thickBot="1">
      <c r="A39" s="40" t="s">
        <v>31</v>
      </c>
      <c r="B39" s="41">
        <v>93941.28</v>
      </c>
      <c r="C39" s="42">
        <v>112449.17</v>
      </c>
      <c r="D39" s="42">
        <v>146178.72</v>
      </c>
      <c r="E39" s="42">
        <v>133781.82</v>
      </c>
      <c r="F39" s="42">
        <v>206187.29</v>
      </c>
      <c r="G39" s="42">
        <v>130740.07</v>
      </c>
      <c r="H39" s="42">
        <v>88475.97</v>
      </c>
      <c r="I39" s="42">
        <v>140305.85</v>
      </c>
      <c r="J39" s="42">
        <v>101419.79</v>
      </c>
      <c r="K39" s="42">
        <v>162073.68</v>
      </c>
      <c r="L39" s="42">
        <v>142876.68</v>
      </c>
      <c r="M39" s="43">
        <v>151703.26</v>
      </c>
      <c r="N39" s="46">
        <f>SUM(B39:M39)</f>
        <v>1610133.58</v>
      </c>
      <c r="O39" s="44">
        <f>SUM('TRT 2005'!B39:M39)</f>
        <v>1377495.68</v>
      </c>
      <c r="P39" s="45">
        <f>N39/O39-1</f>
        <v>0.16888466757296849</v>
      </c>
    </row>
    <row r="40" spans="1:16">
      <c r="B40" s="28">
        <f>B39/'TRT 2005'!B39-1</f>
        <v>0.27197136762951457</v>
      </c>
      <c r="C40" s="28">
        <f>C39/'TRT 2005'!C39-1</f>
        <v>0.1068457017158253</v>
      </c>
      <c r="D40" s="28">
        <f>D39/'TRT 2005'!D39-1</f>
        <v>0.46989381135902608</v>
      </c>
      <c r="E40" s="28">
        <f>E39/'TRT 2005'!E39-1</f>
        <v>-3.5395865431142592E-4</v>
      </c>
      <c r="F40" s="28">
        <f>F39/'TRT 2005'!F39-1</f>
        <v>0.33761671700987006</v>
      </c>
      <c r="G40" s="28">
        <f>G39/'TRT 2005'!G39-1</f>
        <v>4.6793669663993454E-2</v>
      </c>
      <c r="H40" s="28">
        <f>H39/'TRT 2005'!H39-1</f>
        <v>6.1050096485843142E-2</v>
      </c>
      <c r="I40" s="28">
        <f>I39/'TRT 2005'!I39-1</f>
        <v>8.3307339159116811E-2</v>
      </c>
      <c r="J40" s="28">
        <f>J39/'TRT 2005'!J39-1</f>
        <v>-0.14510488081049833</v>
      </c>
      <c r="K40" s="28">
        <f>K39/'TRT 2005'!K39-1</f>
        <v>0.20462938215146531</v>
      </c>
      <c r="L40" s="28">
        <f>L39/'TRT 2005'!L39-1</f>
        <v>0.19355086626339379</v>
      </c>
      <c r="M40" s="28">
        <f>M39/'TRT 2005'!M39-1</f>
        <v>0.45949099974235774</v>
      </c>
      <c r="N40" s="28">
        <f>N39/'TRT 2005'!N39-1</f>
        <v>0.16888466757296849</v>
      </c>
    </row>
    <row r="43" spans="1:16">
      <c r="N43" s="100"/>
    </row>
  </sheetData>
  <mergeCells count="2">
    <mergeCell ref="A1:P1"/>
    <mergeCell ref="A36:P36"/>
  </mergeCells>
  <phoneticPr fontId="0" type="noConversion"/>
  <printOptions horizontalCentered="1" verticalCentered="1"/>
  <pageMargins left="0" right="0" top="0" bottom="0" header="0" footer="0"/>
  <pageSetup scale="8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 enableFormatConditionsCalculation="0">
    <tabColor rgb="FF0070C0"/>
    <pageSetUpPr fitToPage="1"/>
  </sheetPr>
  <dimension ref="A1:P48"/>
  <sheetViews>
    <sheetView workbookViewId="0">
      <selection activeCell="B30" sqref="B30:M30"/>
    </sheetView>
  </sheetViews>
  <sheetFormatPr baseColWidth="10" defaultColWidth="8.83203125" defaultRowHeight="12" x14ac:dyDescent="0"/>
  <cols>
    <col min="2" max="2" width="9.83203125" bestFit="1" customWidth="1"/>
    <col min="3" max="5" width="11" bestFit="1" customWidth="1"/>
    <col min="6" max="6" width="11.5" bestFit="1" customWidth="1"/>
    <col min="7" max="7" width="11.1640625" bestFit="1" customWidth="1"/>
    <col min="8" max="8" width="10.5" bestFit="1" customWidth="1"/>
    <col min="9" max="9" width="11" bestFit="1" customWidth="1"/>
    <col min="10" max="10" width="10.5" bestFit="1" customWidth="1"/>
    <col min="11" max="11" width="10.83203125" bestFit="1" customWidth="1"/>
    <col min="12" max="12" width="11.5" bestFit="1" customWidth="1"/>
    <col min="13" max="13" width="10.83203125" bestFit="1" customWidth="1"/>
    <col min="14" max="14" width="12.1640625" bestFit="1" customWidth="1"/>
    <col min="15" max="15" width="11.1640625" bestFit="1" customWidth="1"/>
    <col min="16" max="16" width="9.33203125" bestFit="1" customWidth="1"/>
  </cols>
  <sheetData>
    <row r="1" spans="1:16" ht="21">
      <c r="A1" s="691" t="s">
        <v>75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16" ht="13" thickBot="1">
      <c r="A2" s="47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3" thickBot="1">
      <c r="A3" s="5" t="s">
        <v>42</v>
      </c>
      <c r="B3" s="7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8" t="s">
        <v>13</v>
      </c>
      <c r="N3" s="52" t="s">
        <v>74</v>
      </c>
      <c r="O3" s="6" t="s">
        <v>63</v>
      </c>
      <c r="P3" s="18" t="s">
        <v>16</v>
      </c>
    </row>
    <row r="4" spans="1:16">
      <c r="A4" s="49" t="s">
        <v>17</v>
      </c>
      <c r="B4" s="50">
        <v>1233.6500000000001</v>
      </c>
      <c r="C4" s="19">
        <v>14681.82</v>
      </c>
      <c r="D4" s="19">
        <v>3048.41</v>
      </c>
      <c r="E4" s="19">
        <v>71.77</v>
      </c>
      <c r="F4" s="19">
        <v>15258.77</v>
      </c>
      <c r="G4" s="19">
        <v>1582.83</v>
      </c>
      <c r="H4" s="19">
        <v>1803.28</v>
      </c>
      <c r="I4" s="19">
        <v>22190.86</v>
      </c>
      <c r="J4" s="19">
        <v>6429.79</v>
      </c>
      <c r="K4" s="19">
        <v>2904.68</v>
      </c>
      <c r="L4" s="19">
        <v>28167.360000000001</v>
      </c>
      <c r="M4" s="51">
        <v>2771.3</v>
      </c>
      <c r="N4" s="81">
        <f>SUM(B4:M4)</f>
        <v>100144.51999999999</v>
      </c>
      <c r="O4" s="19">
        <f>SUM('TRT 2004'!B4:M4)</f>
        <v>92785.59</v>
      </c>
      <c r="P4" s="77">
        <f t="shared" ref="P4:P33" si="0">N4/O4-1</f>
        <v>7.9311130101128668E-2</v>
      </c>
    </row>
    <row r="5" spans="1:16">
      <c r="A5" s="49" t="s">
        <v>18</v>
      </c>
      <c r="B5" s="50">
        <v>3716.68</v>
      </c>
      <c r="C5" s="19">
        <v>5716.18</v>
      </c>
      <c r="D5" s="19">
        <v>4330.78</v>
      </c>
      <c r="E5" s="19">
        <v>3510.71</v>
      </c>
      <c r="F5" s="19">
        <v>7360.84</v>
      </c>
      <c r="G5" s="19">
        <v>4283.76</v>
      </c>
      <c r="H5" s="19">
        <v>5342.91</v>
      </c>
      <c r="I5" s="19">
        <v>11513.9</v>
      </c>
      <c r="J5" s="19">
        <v>8427.0400000000009</v>
      </c>
      <c r="K5" s="19">
        <v>5190.75</v>
      </c>
      <c r="L5" s="19">
        <v>12737.54</v>
      </c>
      <c r="M5" s="51">
        <v>6482.16</v>
      </c>
      <c r="N5" s="81">
        <f>SUM(B5:M5)</f>
        <v>78613.25</v>
      </c>
      <c r="O5" s="19">
        <f>SUM('TRT 2004'!B5:M5)</f>
        <v>80556.010000000009</v>
      </c>
      <c r="P5" s="77">
        <f t="shared" si="0"/>
        <v>-2.4116884637161218E-2</v>
      </c>
    </row>
    <row r="6" spans="1:16">
      <c r="A6" s="49" t="s">
        <v>19</v>
      </c>
      <c r="B6" s="50">
        <v>7230</v>
      </c>
      <c r="C6" s="19">
        <v>22911.599999999999</v>
      </c>
      <c r="D6" s="19">
        <v>5205.4399999999996</v>
      </c>
      <c r="E6" s="19">
        <v>9374.64</v>
      </c>
      <c r="F6" s="19">
        <v>41105.160000000003</v>
      </c>
      <c r="G6" s="19">
        <v>4977.97</v>
      </c>
      <c r="H6" s="19">
        <v>12603.94</v>
      </c>
      <c r="I6" s="19">
        <v>42037.55</v>
      </c>
      <c r="J6" s="19">
        <v>33616.79</v>
      </c>
      <c r="K6" s="19">
        <v>28591.9</v>
      </c>
      <c r="L6" s="19">
        <v>39406.01</v>
      </c>
      <c r="M6" s="51">
        <v>28071.919999999998</v>
      </c>
      <c r="N6" s="81">
        <f>SUM(B6:M6)</f>
        <v>275132.92</v>
      </c>
      <c r="O6" s="19">
        <f>SUM('TRT 2004'!B6:M6)</f>
        <v>263199.39999999997</v>
      </c>
      <c r="P6" s="77">
        <f t="shared" si="0"/>
        <v>4.5340224939722562E-2</v>
      </c>
    </row>
    <row r="7" spans="1:16">
      <c r="A7" s="49" t="s">
        <v>20</v>
      </c>
      <c r="B7" s="50">
        <v>9308.69</v>
      </c>
      <c r="C7" s="19">
        <v>10014.540000000001</v>
      </c>
      <c r="D7" s="19">
        <v>9360.17</v>
      </c>
      <c r="E7" s="19">
        <v>1028.48</v>
      </c>
      <c r="F7" s="19">
        <v>6359.17</v>
      </c>
      <c r="G7" s="19">
        <v>24368.32</v>
      </c>
      <c r="H7" s="19">
        <v>11527.05</v>
      </c>
      <c r="I7" s="19">
        <v>15704.45</v>
      </c>
      <c r="J7" s="19">
        <v>10634.98</v>
      </c>
      <c r="K7" s="19">
        <v>12420.17</v>
      </c>
      <c r="L7" s="19">
        <v>25995.49</v>
      </c>
      <c r="M7" s="51">
        <v>6339.37</v>
      </c>
      <c r="N7" s="81">
        <f t="shared" ref="N7:N24" si="1">SUM(B7:M7)</f>
        <v>143060.87999999998</v>
      </c>
      <c r="O7" s="19">
        <f>SUM('TRT 2004'!B7:M7)</f>
        <v>143430.42000000001</v>
      </c>
      <c r="P7" s="77">
        <f t="shared" si="0"/>
        <v>-2.5764408972659414E-3</v>
      </c>
    </row>
    <row r="8" spans="1:16">
      <c r="A8" s="49" t="s">
        <v>21</v>
      </c>
      <c r="B8" s="50">
        <v>3790.83</v>
      </c>
      <c r="C8" s="19">
        <v>1288.69</v>
      </c>
      <c r="D8" s="19">
        <v>2180.54</v>
      </c>
      <c r="E8" s="19">
        <v>62.72</v>
      </c>
      <c r="F8" s="19">
        <v>3130.5</v>
      </c>
      <c r="G8" s="19">
        <v>392.36</v>
      </c>
      <c r="H8" s="19">
        <v>21622.799999999999</v>
      </c>
      <c r="I8" s="19">
        <v>8484.19</v>
      </c>
      <c r="J8" s="19">
        <v>11438.87</v>
      </c>
      <c r="K8" s="19">
        <v>3597.41</v>
      </c>
      <c r="L8" s="19">
        <v>11089.73</v>
      </c>
      <c r="M8" s="51">
        <v>3930.43</v>
      </c>
      <c r="N8" s="81">
        <f t="shared" si="1"/>
        <v>71009.069999999992</v>
      </c>
      <c r="O8" s="19">
        <f>SUM('TRT 2004'!B8:M8)</f>
        <v>54143.58</v>
      </c>
      <c r="P8" s="77">
        <f t="shared" si="0"/>
        <v>0.31149565654875411</v>
      </c>
    </row>
    <row r="9" spans="1:16">
      <c r="A9" s="49" t="s">
        <v>22</v>
      </c>
      <c r="B9" s="50">
        <v>23533</v>
      </c>
      <c r="C9" s="19">
        <v>32740</v>
      </c>
      <c r="D9" s="19">
        <v>32866</v>
      </c>
      <c r="E9" s="19">
        <v>33946</v>
      </c>
      <c r="F9" s="19">
        <v>51828</v>
      </c>
      <c r="G9" s="19">
        <v>33741</v>
      </c>
      <c r="H9" s="19">
        <v>44372</v>
      </c>
      <c r="I9" s="19">
        <v>62722</v>
      </c>
      <c r="J9" s="19">
        <v>69229</v>
      </c>
      <c r="K9" s="19">
        <v>48789</v>
      </c>
      <c r="L9" s="19">
        <v>11948</v>
      </c>
      <c r="M9" s="51">
        <v>74202.34</v>
      </c>
      <c r="N9" s="81">
        <f t="shared" si="1"/>
        <v>519916.33999999997</v>
      </c>
      <c r="O9" s="19">
        <f>SUM('TRT 2004'!B9:M9)</f>
        <v>490429.29999999993</v>
      </c>
      <c r="P9" s="77">
        <f t="shared" si="0"/>
        <v>6.0124955829515159E-2</v>
      </c>
    </row>
    <row r="10" spans="1:16">
      <c r="A10" s="49" t="s">
        <v>23</v>
      </c>
      <c r="B10" s="50">
        <v>1813.61</v>
      </c>
      <c r="C10" s="19">
        <v>1449</v>
      </c>
      <c r="D10" s="19">
        <v>1413</v>
      </c>
      <c r="E10" s="19">
        <v>2208</v>
      </c>
      <c r="F10" s="19">
        <v>2613</v>
      </c>
      <c r="G10" s="19">
        <v>5548</v>
      </c>
      <c r="H10" s="19">
        <v>7519</v>
      </c>
      <c r="I10" s="19">
        <v>7179</v>
      </c>
      <c r="J10" s="19">
        <v>5274</v>
      </c>
      <c r="K10" s="19">
        <v>4060</v>
      </c>
      <c r="L10" s="19">
        <v>3117</v>
      </c>
      <c r="M10" s="51">
        <v>2826</v>
      </c>
      <c r="N10" s="81">
        <f t="shared" si="1"/>
        <v>45019.61</v>
      </c>
      <c r="O10" s="19">
        <f>SUM('TRT 2004'!B10:M10)</f>
        <v>31306.240000000002</v>
      </c>
      <c r="P10" s="77">
        <f t="shared" si="0"/>
        <v>0.43803950905634137</v>
      </c>
    </row>
    <row r="11" spans="1:16">
      <c r="A11" s="49" t="s">
        <v>51</v>
      </c>
      <c r="B11" s="50">
        <v>11596.26</v>
      </c>
      <c r="C11" s="19">
        <v>10287</v>
      </c>
      <c r="D11" s="19">
        <v>2822</v>
      </c>
      <c r="E11" s="19">
        <v>8024</v>
      </c>
      <c r="F11" s="19">
        <v>11467</v>
      </c>
      <c r="G11" s="19">
        <v>6913</v>
      </c>
      <c r="H11" s="19">
        <v>30202</v>
      </c>
      <c r="I11" s="19">
        <v>17965</v>
      </c>
      <c r="J11" s="19">
        <v>19391</v>
      </c>
      <c r="K11" s="19">
        <v>24416</v>
      </c>
      <c r="L11" s="19">
        <v>18769</v>
      </c>
      <c r="M11" s="51">
        <v>7079</v>
      </c>
      <c r="N11" s="81">
        <f t="shared" si="1"/>
        <v>168931.26</v>
      </c>
      <c r="O11" s="19">
        <f>SUM('TRT 2004'!B11:M11)</f>
        <v>137338.03</v>
      </c>
      <c r="P11" s="77">
        <f t="shared" si="0"/>
        <v>0.23003992412007079</v>
      </c>
    </row>
    <row r="12" spans="1:16">
      <c r="A12" s="49" t="s">
        <v>24</v>
      </c>
      <c r="B12" s="50">
        <v>5270.76</v>
      </c>
      <c r="C12" s="19">
        <v>19014.3</v>
      </c>
      <c r="D12" s="19">
        <v>12615.03</v>
      </c>
      <c r="E12" s="19">
        <v>7702.05</v>
      </c>
      <c r="F12" s="19">
        <v>21144.11</v>
      </c>
      <c r="G12" s="19">
        <v>18271.669999999998</v>
      </c>
      <c r="H12" s="19">
        <v>65336.71</v>
      </c>
      <c r="I12" s="19">
        <v>86849.8</v>
      </c>
      <c r="J12" s="19">
        <v>86749.93</v>
      </c>
      <c r="K12" s="19">
        <v>64700.639999999999</v>
      </c>
      <c r="L12" s="19">
        <v>106963.61</v>
      </c>
      <c r="M12" s="51">
        <v>52279.89</v>
      </c>
      <c r="N12" s="81">
        <f t="shared" si="1"/>
        <v>546898.5</v>
      </c>
      <c r="O12" s="19">
        <f>SUM('TRT 2004'!B12:M12)</f>
        <v>499115.20000000007</v>
      </c>
      <c r="P12" s="77">
        <f t="shared" si="0"/>
        <v>9.5736014451172746E-2</v>
      </c>
    </row>
    <row r="13" spans="1:16">
      <c r="A13" s="49" t="s">
        <v>25</v>
      </c>
      <c r="B13" s="50">
        <v>44240</v>
      </c>
      <c r="C13" s="19">
        <v>44240</v>
      </c>
      <c r="D13" s="19">
        <v>44240</v>
      </c>
      <c r="E13" s="19">
        <v>122098</v>
      </c>
      <c r="F13" s="19">
        <v>122098</v>
      </c>
      <c r="G13" s="19">
        <v>122098</v>
      </c>
      <c r="H13" s="19">
        <v>112927</v>
      </c>
      <c r="I13" s="19">
        <v>112927</v>
      </c>
      <c r="J13" s="19">
        <v>112926</v>
      </c>
      <c r="K13" s="19">
        <v>52913</v>
      </c>
      <c r="L13" s="19">
        <v>52914</v>
      </c>
      <c r="M13" s="51">
        <v>52914</v>
      </c>
      <c r="N13" s="81">
        <f t="shared" si="1"/>
        <v>996535</v>
      </c>
      <c r="O13" s="19">
        <f>SUM('TRT 2004'!B13:M13)</f>
        <v>881214</v>
      </c>
      <c r="P13" s="77">
        <f t="shared" si="0"/>
        <v>0.13086605523743389</v>
      </c>
    </row>
    <row r="14" spans="1:16">
      <c r="A14" s="49" t="s">
        <v>26</v>
      </c>
      <c r="B14" s="50">
        <v>21710.01</v>
      </c>
      <c r="C14" s="19">
        <v>52131.839999999997</v>
      </c>
      <c r="D14" s="19">
        <v>20080.84</v>
      </c>
      <c r="E14" s="19">
        <v>31028.14</v>
      </c>
      <c r="F14" s="19">
        <v>78402.570000000007</v>
      </c>
      <c r="G14" s="19">
        <v>24589.72</v>
      </c>
      <c r="H14" s="19">
        <v>28920.76</v>
      </c>
      <c r="I14" s="19">
        <v>67306.27</v>
      </c>
      <c r="J14" s="19">
        <v>56311.71</v>
      </c>
      <c r="K14" s="19">
        <v>50272.06</v>
      </c>
      <c r="L14" s="19">
        <v>72578.179999999993</v>
      </c>
      <c r="M14" s="51">
        <v>28365.74</v>
      </c>
      <c r="N14" s="81">
        <f t="shared" si="1"/>
        <v>531697.84000000008</v>
      </c>
      <c r="O14" s="19">
        <f>SUM('TRT 2004'!B14:M14)</f>
        <v>474736.21</v>
      </c>
      <c r="P14" s="77">
        <f t="shared" si="0"/>
        <v>0.11998585488138791</v>
      </c>
    </row>
    <row r="15" spans="1:16">
      <c r="A15" s="49" t="s">
        <v>27</v>
      </c>
      <c r="B15" s="50">
        <v>58.01</v>
      </c>
      <c r="C15" s="19">
        <v>10770.67</v>
      </c>
      <c r="D15" s="19">
        <v>2251.66</v>
      </c>
      <c r="E15" s="19">
        <v>10.27</v>
      </c>
      <c r="F15" s="19">
        <v>11807.03</v>
      </c>
      <c r="G15" s="19">
        <v>102.94</v>
      </c>
      <c r="H15" s="19">
        <v>334.31</v>
      </c>
      <c r="I15" s="19">
        <v>18548.09</v>
      </c>
      <c r="J15" s="19">
        <v>571.54999999999995</v>
      </c>
      <c r="K15" s="19">
        <v>460.82</v>
      </c>
      <c r="L15" s="19">
        <v>18803.82</v>
      </c>
      <c r="M15" s="51">
        <v>1591.08</v>
      </c>
      <c r="N15" s="81">
        <f t="shared" si="1"/>
        <v>65310.25</v>
      </c>
      <c r="O15" s="19">
        <f>SUM('TRT 2004'!B15:M15)</f>
        <v>60977.3</v>
      </c>
      <c r="P15" s="77">
        <f t="shared" si="0"/>
        <v>7.1058410260867566E-2</v>
      </c>
    </row>
    <row r="16" spans="1:16">
      <c r="A16" s="49" t="s">
        <v>28</v>
      </c>
      <c r="B16" s="50">
        <v>7383.72</v>
      </c>
      <c r="C16" s="19">
        <v>30810.78</v>
      </c>
      <c r="D16" s="19">
        <v>3809.83</v>
      </c>
      <c r="E16" s="19">
        <v>8360.2199999999993</v>
      </c>
      <c r="F16" s="19">
        <v>19460.2</v>
      </c>
      <c r="G16" s="19">
        <v>17534.14</v>
      </c>
      <c r="H16" s="19">
        <v>29060.37</v>
      </c>
      <c r="I16" s="19">
        <v>62594.7</v>
      </c>
      <c r="J16" s="19">
        <v>39768.54</v>
      </c>
      <c r="K16" s="19">
        <v>39139.160000000003</v>
      </c>
      <c r="L16" s="19">
        <v>67847.47</v>
      </c>
      <c r="M16" s="51">
        <v>23070.85</v>
      </c>
      <c r="N16" s="81">
        <f t="shared" si="1"/>
        <v>348839.98</v>
      </c>
      <c r="O16" s="19">
        <f>SUM('TRT 2004'!B16:M16)</f>
        <v>300956.37999999995</v>
      </c>
      <c r="P16" s="77">
        <f t="shared" si="0"/>
        <v>0.15910478455382826</v>
      </c>
    </row>
    <row r="17" spans="1:16">
      <c r="A17" s="49" t="s">
        <v>52</v>
      </c>
      <c r="B17" s="50">
        <v>2551.91</v>
      </c>
      <c r="C17" s="19">
        <v>9086.2000000000007</v>
      </c>
      <c r="D17" s="19">
        <v>3713.33</v>
      </c>
      <c r="E17" s="19">
        <v>2499.67</v>
      </c>
      <c r="F17" s="19">
        <v>10482.549999999999</v>
      </c>
      <c r="G17" s="19">
        <v>4183.18</v>
      </c>
      <c r="H17" s="19">
        <v>5078.3900000000003</v>
      </c>
      <c r="I17" s="19">
        <v>13451.49</v>
      </c>
      <c r="J17" s="19">
        <v>11188.26</v>
      </c>
      <c r="K17" s="19">
        <v>7657.9</v>
      </c>
      <c r="L17" s="19">
        <v>12304.35</v>
      </c>
      <c r="M17" s="51">
        <v>4404.54</v>
      </c>
      <c r="N17" s="81">
        <f t="shared" si="1"/>
        <v>86601.77</v>
      </c>
      <c r="O17" s="19">
        <f>SUM('TRT 2004'!B17:M17)</f>
        <v>83830.95</v>
      </c>
      <c r="P17" s="77">
        <f t="shared" si="0"/>
        <v>3.3052470477789031E-2</v>
      </c>
    </row>
    <row r="18" spans="1:16">
      <c r="A18" s="49" t="s">
        <v>29</v>
      </c>
      <c r="B18" s="50">
        <v>2.61</v>
      </c>
      <c r="C18" s="19">
        <v>18.62</v>
      </c>
      <c r="D18" s="19">
        <v>1.34</v>
      </c>
      <c r="E18" s="19">
        <v>1.53</v>
      </c>
      <c r="F18" s="19">
        <v>20.13</v>
      </c>
      <c r="G18" s="19">
        <v>22.14</v>
      </c>
      <c r="H18" s="19">
        <v>75.55</v>
      </c>
      <c r="I18" s="19">
        <v>477.65</v>
      </c>
      <c r="J18" s="19">
        <v>111.96</v>
      </c>
      <c r="K18" s="19">
        <v>134.88999999999999</v>
      </c>
      <c r="L18" s="19">
        <v>574.08000000000004</v>
      </c>
      <c r="M18" s="51"/>
      <c r="N18" s="81">
        <f t="shared" si="1"/>
        <v>1440.5</v>
      </c>
      <c r="O18" s="19">
        <f>SUM('TRT 2004'!B18:M18)</f>
        <v>1480.43</v>
      </c>
      <c r="P18" s="77">
        <f t="shared" si="0"/>
        <v>-2.6971893301270589E-2</v>
      </c>
    </row>
    <row r="19" spans="1:16">
      <c r="A19" s="49" t="s">
        <v>53</v>
      </c>
      <c r="B19" s="50">
        <v>4360.99</v>
      </c>
      <c r="C19" s="19">
        <v>1894.79</v>
      </c>
      <c r="D19" s="19">
        <v>89.03</v>
      </c>
      <c r="E19" s="19">
        <v>890.07</v>
      </c>
      <c r="F19" s="19">
        <v>623.79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3734.44</v>
      </c>
      <c r="M19" s="51">
        <v>36.85</v>
      </c>
      <c r="N19" s="81">
        <f t="shared" si="1"/>
        <v>11629.96</v>
      </c>
      <c r="O19" s="19">
        <f>SUM('TRT 2004'!B19:M19)</f>
        <v>11035.699999999999</v>
      </c>
      <c r="P19" s="77">
        <f t="shared" si="0"/>
        <v>5.3848872296274886E-2</v>
      </c>
    </row>
    <row r="20" spans="1:16">
      <c r="A20" s="49" t="s">
        <v>30</v>
      </c>
      <c r="B20" s="50">
        <v>6720</v>
      </c>
      <c r="C20" s="19">
        <v>1756.03</v>
      </c>
      <c r="D20" s="19">
        <v>693.25</v>
      </c>
      <c r="E20" s="19">
        <v>415.51</v>
      </c>
      <c r="F20" s="19">
        <v>1315.96</v>
      </c>
      <c r="G20" s="19">
        <v>327.06</v>
      </c>
      <c r="H20" s="19">
        <v>4969.16</v>
      </c>
      <c r="I20" s="19">
        <v>12342.5</v>
      </c>
      <c r="J20" s="19">
        <v>6652.84</v>
      </c>
      <c r="K20" s="19">
        <v>7408</v>
      </c>
      <c r="L20" s="19">
        <v>36811</v>
      </c>
      <c r="M20" s="51">
        <v>734</v>
      </c>
      <c r="N20" s="81">
        <f t="shared" si="1"/>
        <v>80145.31</v>
      </c>
      <c r="O20" s="19">
        <f>SUM('TRT 2004'!B20:M20)</f>
        <v>52341.47</v>
      </c>
      <c r="P20" s="77">
        <f t="shared" si="0"/>
        <v>0.53120097696912216</v>
      </c>
    </row>
    <row r="21" spans="1:16">
      <c r="A21" s="49" t="s">
        <v>31</v>
      </c>
      <c r="B21" s="50">
        <v>443155.03</v>
      </c>
      <c r="C21" s="19">
        <v>609601.01</v>
      </c>
      <c r="D21" s="19">
        <v>596725.68000000005</v>
      </c>
      <c r="E21" s="19">
        <v>803021.95</v>
      </c>
      <c r="F21" s="19">
        <v>936926.22</v>
      </c>
      <c r="G21" s="19">
        <v>749418.14</v>
      </c>
      <c r="H21" s="19">
        <v>500340.86</v>
      </c>
      <c r="I21" s="19">
        <v>777142.5</v>
      </c>
      <c r="J21" s="19">
        <v>711836.67</v>
      </c>
      <c r="K21" s="19">
        <v>807257.47</v>
      </c>
      <c r="L21" s="19">
        <v>718239.48</v>
      </c>
      <c r="M21" s="51">
        <v>623683.12</v>
      </c>
      <c r="N21" s="81">
        <f t="shared" si="1"/>
        <v>8277348.1299999999</v>
      </c>
      <c r="O21" s="19">
        <f>SUM('TRT 2004'!B21:M21)</f>
        <v>7497268.120000001</v>
      </c>
      <c r="P21" s="77">
        <f t="shared" si="0"/>
        <v>0.10404856776017213</v>
      </c>
    </row>
    <row r="22" spans="1:16">
      <c r="A22" s="49" t="s">
        <v>45</v>
      </c>
      <c r="B22" s="50">
        <v>5827.87</v>
      </c>
      <c r="C22" s="19">
        <v>14273.04</v>
      </c>
      <c r="D22" s="19">
        <v>5135.96</v>
      </c>
      <c r="E22" s="19">
        <v>1161.2</v>
      </c>
      <c r="F22" s="19">
        <v>21803.45</v>
      </c>
      <c r="G22" s="19">
        <v>9685.85</v>
      </c>
      <c r="H22" s="19">
        <v>14387.7</v>
      </c>
      <c r="I22" s="19">
        <v>52508.09</v>
      </c>
      <c r="J22" s="19">
        <v>23680.799999999999</v>
      </c>
      <c r="K22" s="19">
        <v>21078.53</v>
      </c>
      <c r="L22" s="19">
        <v>59575.15</v>
      </c>
      <c r="M22" s="51">
        <v>19439.439999999999</v>
      </c>
      <c r="N22" s="81">
        <f t="shared" si="1"/>
        <v>248557.08</v>
      </c>
      <c r="O22" s="19">
        <f>SUM('TRT 2004'!B22:M22)</f>
        <v>230278.41</v>
      </c>
      <c r="P22" s="77">
        <f t="shared" si="0"/>
        <v>7.9376394860464661E-2</v>
      </c>
    </row>
    <row r="23" spans="1:16">
      <c r="A23" s="49" t="s">
        <v>32</v>
      </c>
      <c r="B23" s="50">
        <v>217.5</v>
      </c>
      <c r="C23" s="19">
        <v>5019.09</v>
      </c>
      <c r="D23" s="19">
        <v>762.17</v>
      </c>
      <c r="E23" s="19">
        <v>858.45</v>
      </c>
      <c r="F23" s="19">
        <v>6648.47</v>
      </c>
      <c r="G23" s="19">
        <v>1331.93</v>
      </c>
      <c r="H23" s="19">
        <v>655.96</v>
      </c>
      <c r="I23" s="19">
        <v>9029.69</v>
      </c>
      <c r="J23" s="19">
        <v>4520.3500000000004</v>
      </c>
      <c r="K23" s="19">
        <v>800.91</v>
      </c>
      <c r="L23" s="19">
        <v>10129.64</v>
      </c>
      <c r="M23" s="51">
        <v>497.99</v>
      </c>
      <c r="N23" s="81">
        <f t="shared" si="1"/>
        <v>40472.15</v>
      </c>
      <c r="O23" s="19">
        <f>SUM('TRT 2004'!B23:M23)</f>
        <v>38450.28</v>
      </c>
      <c r="P23" s="77">
        <f t="shared" si="0"/>
        <v>5.2584012392107526E-2</v>
      </c>
    </row>
    <row r="24" spans="1:16">
      <c r="A24" s="49" t="s">
        <v>33</v>
      </c>
      <c r="B24" s="50">
        <v>8911.5400000000009</v>
      </c>
      <c r="C24" s="19">
        <v>20970.09</v>
      </c>
      <c r="D24" s="19">
        <v>3925.42</v>
      </c>
      <c r="E24" s="19">
        <v>4585.2299999999996</v>
      </c>
      <c r="F24" s="19">
        <v>19642.57</v>
      </c>
      <c r="G24" s="19">
        <v>8963.73</v>
      </c>
      <c r="H24" s="19">
        <v>11403.09</v>
      </c>
      <c r="I24" s="19">
        <v>31063.62</v>
      </c>
      <c r="J24" s="19">
        <v>21701.57</v>
      </c>
      <c r="K24" s="19">
        <v>15416.55</v>
      </c>
      <c r="L24" s="19">
        <v>52540.34</v>
      </c>
      <c r="M24" s="51">
        <v>18669.07</v>
      </c>
      <c r="N24" s="81">
        <f t="shared" si="1"/>
        <v>217792.81999999998</v>
      </c>
      <c r="O24" s="19">
        <f>SUM('TRT 2004'!B24:M24)</f>
        <v>204112.43</v>
      </c>
      <c r="P24" s="77">
        <f t="shared" si="0"/>
        <v>6.7023796639920308E-2</v>
      </c>
    </row>
    <row r="25" spans="1:16">
      <c r="A25" s="49" t="s">
        <v>34</v>
      </c>
      <c r="B25" s="50">
        <v>68681.75</v>
      </c>
      <c r="C25" s="19">
        <v>568371.29</v>
      </c>
      <c r="D25" s="19">
        <v>514397.46</v>
      </c>
      <c r="E25" s="19">
        <v>722105.88</v>
      </c>
      <c r="F25" s="19">
        <v>1179052.6399999999</v>
      </c>
      <c r="G25" s="19">
        <v>247858.06</v>
      </c>
      <c r="H25" s="19">
        <v>59173.62</v>
      </c>
      <c r="I25" s="19">
        <v>132822.67000000001</v>
      </c>
      <c r="J25" s="19">
        <v>153567.99</v>
      </c>
      <c r="K25" s="19">
        <v>153692.09</v>
      </c>
      <c r="L25" s="19">
        <v>190041.19</v>
      </c>
      <c r="M25" s="51">
        <v>78457.429999999993</v>
      </c>
      <c r="N25" s="81">
        <f>SUM(B25:M25)</f>
        <v>4068222.0699999994</v>
      </c>
      <c r="O25" s="19">
        <f>SUM('TRT 2004'!B25:M25)</f>
        <v>3315001.51</v>
      </c>
      <c r="P25" s="77">
        <f t="shared" si="0"/>
        <v>0.22721575170564545</v>
      </c>
    </row>
    <row r="26" spans="1:16">
      <c r="A26" s="49" t="s">
        <v>35</v>
      </c>
      <c r="B26" s="50">
        <v>5318.62</v>
      </c>
      <c r="C26" s="19">
        <v>13813.97</v>
      </c>
      <c r="D26" s="19">
        <v>7367.27</v>
      </c>
      <c r="E26" s="19">
        <v>4957.8</v>
      </c>
      <c r="F26" s="19">
        <v>18477.93</v>
      </c>
      <c r="G26" s="19">
        <v>7329.31</v>
      </c>
      <c r="H26" s="19">
        <v>13838.95</v>
      </c>
      <c r="I26" s="19">
        <v>17931.09</v>
      </c>
      <c r="J26" s="19">
        <v>14303.7</v>
      </c>
      <c r="K26" s="19">
        <v>11178.81</v>
      </c>
      <c r="L26" s="19">
        <v>15223.08</v>
      </c>
      <c r="M26" s="51">
        <v>11098.13</v>
      </c>
      <c r="N26" s="81">
        <f t="shared" ref="N26:N33" si="2">SUM(B26:M26)</f>
        <v>140838.65999999997</v>
      </c>
      <c r="O26" s="19">
        <f>SUM('TRT 2004'!B26:M26)</f>
        <v>123777.8</v>
      </c>
      <c r="P26" s="77">
        <f t="shared" si="0"/>
        <v>0.13783457130438559</v>
      </c>
    </row>
    <row r="27" spans="1:16">
      <c r="A27" s="49" t="s">
        <v>36</v>
      </c>
      <c r="B27" s="50">
        <v>7755.64</v>
      </c>
      <c r="C27" s="19">
        <v>18462.47</v>
      </c>
      <c r="D27" s="19">
        <v>11707.05</v>
      </c>
      <c r="E27" s="19">
        <v>7277.08</v>
      </c>
      <c r="F27" s="19">
        <v>28632.04</v>
      </c>
      <c r="G27" s="19">
        <v>8774.3700000000008</v>
      </c>
      <c r="H27" s="19">
        <v>5726.01</v>
      </c>
      <c r="I27" s="19">
        <v>37327.410000000003</v>
      </c>
      <c r="J27" s="19">
        <v>32687.119999999999</v>
      </c>
      <c r="K27" s="19">
        <v>21886.55</v>
      </c>
      <c r="L27" s="19">
        <v>34481.519999999997</v>
      </c>
      <c r="M27" s="51">
        <v>27331.119999999999</v>
      </c>
      <c r="N27" s="81">
        <f t="shared" si="2"/>
        <v>242048.37999999998</v>
      </c>
      <c r="O27" s="19">
        <f>SUM('TRT 2004'!B27:M27)</f>
        <v>185181.69</v>
      </c>
      <c r="P27" s="77">
        <f t="shared" si="0"/>
        <v>0.30708592193969064</v>
      </c>
    </row>
    <row r="28" spans="1:16">
      <c r="A28" s="49" t="s">
        <v>37</v>
      </c>
      <c r="B28" s="50">
        <v>81551</v>
      </c>
      <c r="C28" s="19">
        <v>34081</v>
      </c>
      <c r="D28" s="19">
        <v>73809</v>
      </c>
      <c r="E28" s="19">
        <v>90477</v>
      </c>
      <c r="F28" s="19">
        <v>78738</v>
      </c>
      <c r="G28" s="19">
        <v>82096</v>
      </c>
      <c r="H28" s="19">
        <v>62631</v>
      </c>
      <c r="I28" s="19">
        <v>135048</v>
      </c>
      <c r="J28" s="19">
        <v>97355</v>
      </c>
      <c r="K28" s="19">
        <v>105201</v>
      </c>
      <c r="L28" s="19">
        <v>104589</v>
      </c>
      <c r="M28" s="51">
        <v>53049</v>
      </c>
      <c r="N28" s="81">
        <f t="shared" si="2"/>
        <v>998625</v>
      </c>
      <c r="O28" s="19">
        <f>SUM('TRT 2004'!B28:M28)</f>
        <v>948065</v>
      </c>
      <c r="P28" s="77">
        <f t="shared" si="0"/>
        <v>5.3329676762669198E-2</v>
      </c>
    </row>
    <row r="29" spans="1:16">
      <c r="A29" s="49" t="s">
        <v>38</v>
      </c>
      <c r="B29" s="50">
        <v>7834.8</v>
      </c>
      <c r="C29" s="19">
        <v>15878.89</v>
      </c>
      <c r="D29" s="19">
        <v>26802.62</v>
      </c>
      <c r="E29" s="19">
        <v>15954.23</v>
      </c>
      <c r="F29" s="19">
        <v>20990.959999999999</v>
      </c>
      <c r="G29" s="19">
        <v>19653.27</v>
      </c>
      <c r="H29" s="19">
        <v>11566.26</v>
      </c>
      <c r="I29" s="19">
        <v>31728.87</v>
      </c>
      <c r="J29" s="19">
        <v>29785.49</v>
      </c>
      <c r="K29" s="19">
        <v>24350.86</v>
      </c>
      <c r="L29" s="19">
        <v>20408.91</v>
      </c>
      <c r="M29" s="51">
        <v>28368.92</v>
      </c>
      <c r="N29" s="81">
        <f t="shared" si="2"/>
        <v>253324.08000000002</v>
      </c>
      <c r="O29" s="19">
        <f>SUM('TRT 2004'!B29:M29)</f>
        <v>208447.94</v>
      </c>
      <c r="P29" s="77">
        <f t="shared" si="0"/>
        <v>0.21528704001584287</v>
      </c>
    </row>
    <row r="30" spans="1:16">
      <c r="A30" s="49" t="s">
        <v>39</v>
      </c>
      <c r="B30" s="50">
        <v>81160.55</v>
      </c>
      <c r="C30" s="19">
        <v>117850.01</v>
      </c>
      <c r="D30" s="19">
        <v>63256.55</v>
      </c>
      <c r="E30" s="19">
        <v>73499.850000000006</v>
      </c>
      <c r="F30" s="19">
        <v>175730.26</v>
      </c>
      <c r="G30" s="19">
        <v>121179.44</v>
      </c>
      <c r="H30" s="19">
        <v>148260.39000000001</v>
      </c>
      <c r="I30" s="19">
        <v>221931.79</v>
      </c>
      <c r="J30" s="19">
        <v>157472.46</v>
      </c>
      <c r="K30" s="19">
        <v>132225.17000000001</v>
      </c>
      <c r="L30" s="19">
        <v>218330.6</v>
      </c>
      <c r="M30" s="51">
        <v>187867.53</v>
      </c>
      <c r="N30" s="81">
        <f t="shared" si="2"/>
        <v>1698764.6</v>
      </c>
      <c r="O30" s="19">
        <f>SUM('TRT 2004'!B30:M30)</f>
        <v>1526332.03</v>
      </c>
      <c r="P30" s="77">
        <f t="shared" si="0"/>
        <v>0.11297186104389101</v>
      </c>
    </row>
    <row r="31" spans="1:16">
      <c r="A31" s="49" t="s">
        <v>40</v>
      </c>
      <c r="B31" s="50">
        <v>2925.7</v>
      </c>
      <c r="C31" s="19">
        <v>8560.35</v>
      </c>
      <c r="D31" s="19">
        <v>1010.66</v>
      </c>
      <c r="E31" s="19">
        <v>1341.09</v>
      </c>
      <c r="F31" s="19">
        <v>3944.2</v>
      </c>
      <c r="G31" s="19">
        <v>3941.7</v>
      </c>
      <c r="H31" s="19">
        <v>6247.79</v>
      </c>
      <c r="I31" s="19">
        <v>24571.39</v>
      </c>
      <c r="J31" s="19">
        <v>6062.6</v>
      </c>
      <c r="K31" s="19">
        <v>8847.93</v>
      </c>
      <c r="L31" s="19">
        <v>25722.720000000001</v>
      </c>
      <c r="M31" s="51">
        <v>4830.17</v>
      </c>
      <c r="N31" s="81">
        <f t="shared" si="2"/>
        <v>98006.3</v>
      </c>
      <c r="O31" s="19">
        <f>SUM('TRT 2004'!B31:M31)</f>
        <v>76704.200000000012</v>
      </c>
      <c r="P31" s="77">
        <f t="shared" si="0"/>
        <v>0.27771751742407824</v>
      </c>
    </row>
    <row r="32" spans="1:16" ht="13" thickBot="1">
      <c r="A32" s="53" t="s">
        <v>41</v>
      </c>
      <c r="B32" s="54">
        <v>31594.29</v>
      </c>
      <c r="C32" s="20">
        <v>39579.39</v>
      </c>
      <c r="D32" s="20">
        <v>31069.98</v>
      </c>
      <c r="E32" s="20">
        <v>20709.75</v>
      </c>
      <c r="F32" s="20">
        <v>71745.460000000006</v>
      </c>
      <c r="G32" s="20">
        <v>37558.94</v>
      </c>
      <c r="H32" s="20">
        <v>55473.46</v>
      </c>
      <c r="I32" s="20">
        <v>54657.54</v>
      </c>
      <c r="J32" s="20">
        <v>49855.73</v>
      </c>
      <c r="K32" s="20">
        <v>49181.9</v>
      </c>
      <c r="L32" s="20">
        <v>66199.42</v>
      </c>
      <c r="M32" s="55">
        <v>30159.21</v>
      </c>
      <c r="N32" s="82">
        <f t="shared" si="2"/>
        <v>537785.06999999995</v>
      </c>
      <c r="O32" s="19">
        <f>SUM('TRT 2004'!B32:M32)</f>
        <v>424225.97000000003</v>
      </c>
      <c r="P32" s="78">
        <f t="shared" si="0"/>
        <v>0.26768540360695003</v>
      </c>
    </row>
    <row r="33" spans="1:16" ht="14" thickTop="1" thickBot="1">
      <c r="A33" s="56" t="s">
        <v>54</v>
      </c>
      <c r="B33" s="57">
        <f>SUM(B4:B32)</f>
        <v>899455.02000000014</v>
      </c>
      <c r="C33" s="58">
        <f>SUM(C4:C32)</f>
        <v>1735272.66</v>
      </c>
      <c r="D33" s="58">
        <f t="shared" ref="D33:L33" si="3">SUM(D4:D32)</f>
        <v>1484690.4700000002</v>
      </c>
      <c r="E33" s="58">
        <f t="shared" si="3"/>
        <v>1977181.29</v>
      </c>
      <c r="F33" s="58">
        <f t="shared" si="3"/>
        <v>2966808.9800000004</v>
      </c>
      <c r="G33" s="58">
        <f t="shared" si="3"/>
        <v>1566726.83</v>
      </c>
      <c r="H33" s="58">
        <f t="shared" si="3"/>
        <v>1271400.3199999998</v>
      </c>
      <c r="I33" s="58">
        <f t="shared" si="3"/>
        <v>2088057.1100000003</v>
      </c>
      <c r="J33" s="58">
        <f t="shared" si="3"/>
        <v>1781551.7400000005</v>
      </c>
      <c r="K33" s="58">
        <f t="shared" si="3"/>
        <v>1703774.1500000001</v>
      </c>
      <c r="L33" s="58">
        <f t="shared" si="3"/>
        <v>2039242.13</v>
      </c>
      <c r="M33" s="59">
        <f>SUM(M4:M32)</f>
        <v>1378550.5999999996</v>
      </c>
      <c r="N33" s="83">
        <f t="shared" si="2"/>
        <v>20892711.300000004</v>
      </c>
      <c r="O33" s="80">
        <f>SUM('TRT 2004'!B33:M33)</f>
        <v>18436721.59</v>
      </c>
      <c r="P33" s="89">
        <f t="shared" si="0"/>
        <v>0.13321184560991162</v>
      </c>
    </row>
    <row r="34" spans="1:16">
      <c r="B34" s="28">
        <f>B33/'TRT 2003'!B33-1</f>
        <v>6.7250021438026053E-2</v>
      </c>
      <c r="C34" s="28">
        <f>C33/'TRT 2003'!C33-1</f>
        <v>8.819513055201722E-2</v>
      </c>
      <c r="D34" s="28">
        <f>D33/'TRT 2003'!D33-1</f>
        <v>-2.1357630818898965E-2</v>
      </c>
      <c r="E34" s="28">
        <f>E33/'TRT 2003'!E33-1</f>
        <v>0.32595548010708963</v>
      </c>
      <c r="F34" s="28">
        <f>F33/'TRT 2003'!F33-1</f>
        <v>0.3236317298442446</v>
      </c>
      <c r="G34" s="28">
        <f>G33/'TRT 2003'!G33-1</f>
        <v>0.50706594723768506</v>
      </c>
      <c r="H34" s="28">
        <f>H33/'TRT 2003'!H33-1</f>
        <v>0.2571393438547056</v>
      </c>
      <c r="I34" s="28">
        <f>I33/'TRT 2003'!I33-1</f>
        <v>0.20002316648026985</v>
      </c>
      <c r="J34" s="28">
        <f>J33/'TRT 2003'!J33-1</f>
        <v>0.39906543729439714</v>
      </c>
      <c r="K34" s="28">
        <f>K33/'TRT 2003'!K33-1</f>
        <v>0.38683177633233679</v>
      </c>
      <c r="L34" s="28">
        <f>L33/'TRT 2003'!L33-1</f>
        <v>6.6460545383516756E-2</v>
      </c>
      <c r="M34" s="28">
        <f>M33/'TRT 2003'!M33-1</f>
        <v>9.7462195307791433E-2</v>
      </c>
      <c r="N34" s="28">
        <f>N33/'TRT 2003'!N33-1</f>
        <v>0.15385000659415105</v>
      </c>
    </row>
    <row r="35" spans="1:16">
      <c r="O35" s="100"/>
    </row>
    <row r="36" spans="1:16" ht="21">
      <c r="A36" s="691" t="s">
        <v>76</v>
      </c>
      <c r="B36" s="691"/>
      <c r="C36" s="691"/>
      <c r="D36" s="691"/>
      <c r="E36" s="691"/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</row>
    <row r="37" spans="1:16" ht="13" thickBot="1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6" ht="13" thickBot="1">
      <c r="A38" s="5" t="s">
        <v>42</v>
      </c>
      <c r="B38" s="7" t="s">
        <v>2</v>
      </c>
      <c r="C38" s="6" t="s">
        <v>3</v>
      </c>
      <c r="D38" s="6" t="s">
        <v>4</v>
      </c>
      <c r="E38" s="6" t="s">
        <v>5</v>
      </c>
      <c r="F38" s="6" t="s">
        <v>6</v>
      </c>
      <c r="G38" s="6" t="s">
        <v>7</v>
      </c>
      <c r="H38" s="6" t="s">
        <v>8</v>
      </c>
      <c r="I38" s="6" t="s">
        <v>9</v>
      </c>
      <c r="J38" s="6" t="s">
        <v>10</v>
      </c>
      <c r="K38" s="6" t="s">
        <v>11</v>
      </c>
      <c r="L38" s="6" t="s">
        <v>12</v>
      </c>
      <c r="M38" s="8" t="s">
        <v>13</v>
      </c>
      <c r="N38" s="29" t="s">
        <v>74</v>
      </c>
      <c r="O38" s="6" t="s">
        <v>63</v>
      </c>
      <c r="P38" s="18" t="s">
        <v>16</v>
      </c>
    </row>
    <row r="39" spans="1:16" ht="13" thickBot="1">
      <c r="A39" s="40" t="s">
        <v>31</v>
      </c>
      <c r="B39" s="41">
        <v>73854.87</v>
      </c>
      <c r="C39" s="42">
        <v>101594.26</v>
      </c>
      <c r="D39" s="42">
        <v>99448.49</v>
      </c>
      <c r="E39" s="42">
        <v>133829.19</v>
      </c>
      <c r="F39" s="42">
        <v>154145.26999999999</v>
      </c>
      <c r="G39" s="42">
        <v>124895.74</v>
      </c>
      <c r="H39" s="42">
        <v>83385.289999999994</v>
      </c>
      <c r="I39" s="42">
        <v>129516.2</v>
      </c>
      <c r="J39" s="42">
        <v>118634.19</v>
      </c>
      <c r="K39" s="42">
        <v>134542.35999999999</v>
      </c>
      <c r="L39" s="42">
        <v>119707.24</v>
      </c>
      <c r="M39" s="43">
        <v>103942.58</v>
      </c>
      <c r="N39" s="46">
        <f>SUM(B39:M39)</f>
        <v>1377495.68</v>
      </c>
      <c r="O39" s="44">
        <f>SUM('TRT 2004'!B39:M39)</f>
        <v>1249471.92</v>
      </c>
      <c r="P39" s="45">
        <f>N39/O39-1</f>
        <v>0.10246229463083889</v>
      </c>
    </row>
    <row r="40" spans="1:16">
      <c r="B40" s="28">
        <f>B39/'TRT 2004'!B39-1</f>
        <v>9.0763401326906967E-2</v>
      </c>
      <c r="C40" s="28">
        <f>C39/'TRT 2004'!C39-1</f>
        <v>0.20427565720300644</v>
      </c>
      <c r="D40" s="28">
        <f>D39/'TRT 2004'!D39-1</f>
        <v>8.0920138407702735E-2</v>
      </c>
      <c r="E40" s="28">
        <f>E39/'TRT 2004'!E39-1</f>
        <v>8.4382141546008871E-3</v>
      </c>
      <c r="F40" s="28">
        <f>F39/'TRT 2004'!F39-1</f>
        <v>6.5004950024067698E-2</v>
      </c>
      <c r="G40" s="28">
        <f>G39/'TRT 2004'!G39-1</f>
        <v>8.3569669182444573E-2</v>
      </c>
      <c r="H40" s="28">
        <f>H39/'TRT 2004'!H39-1</f>
        <v>0.15664771547439016</v>
      </c>
      <c r="I40" s="28">
        <f>I39/'TRT 2004'!I39-1</f>
        <v>0.109542810744925</v>
      </c>
      <c r="J40" s="28">
        <f>J39/'TRT 2004'!J39-1</f>
        <v>0.16985663130858875</v>
      </c>
      <c r="K40" s="28">
        <f>K39/'TRT 2004'!K39-1</f>
        <v>0.18024666319049443</v>
      </c>
      <c r="L40" s="28">
        <f>L39/'TRT 2004'!L39-1</f>
        <v>8.1785443500688171E-2</v>
      </c>
      <c r="M40" s="28">
        <f>M39/'TRT 2004'!M39-1</f>
        <v>6.2747474503742406E-2</v>
      </c>
      <c r="N40" s="28">
        <f>N39/'TRT 2004'!N39-1</f>
        <v>0.10246229463083889</v>
      </c>
    </row>
    <row r="44" spans="1:16" ht="21">
      <c r="A44" s="691" t="s">
        <v>77</v>
      </c>
      <c r="B44" s="691"/>
      <c r="C44" s="691"/>
      <c r="D44" s="691"/>
      <c r="E44" s="691"/>
      <c r="F44" s="691"/>
      <c r="G44" s="691"/>
      <c r="H44" s="691"/>
      <c r="I44" s="691"/>
      <c r="J44" s="691"/>
      <c r="K44" s="691"/>
      <c r="L44" s="691"/>
      <c r="M44" s="691"/>
      <c r="N44" s="691"/>
      <c r="O44" s="691"/>
      <c r="P44" s="691"/>
    </row>
    <row r="45" spans="1:16" ht="13" thickBot="1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6" ht="13" thickBot="1">
      <c r="A46" s="5" t="s">
        <v>42</v>
      </c>
      <c r="B46" s="7" t="s">
        <v>2</v>
      </c>
      <c r="C46" s="6" t="s">
        <v>3</v>
      </c>
      <c r="D46" s="6" t="s">
        <v>4</v>
      </c>
      <c r="E46" s="6" t="s">
        <v>5</v>
      </c>
      <c r="F46" s="6" t="s">
        <v>6</v>
      </c>
      <c r="G46" s="6" t="s">
        <v>7</v>
      </c>
      <c r="H46" s="6" t="s">
        <v>8</v>
      </c>
      <c r="I46" s="6" t="s">
        <v>9</v>
      </c>
      <c r="J46" s="6" t="s">
        <v>10</v>
      </c>
      <c r="K46" s="6" t="s">
        <v>11</v>
      </c>
      <c r="L46" s="6" t="s">
        <v>12</v>
      </c>
      <c r="M46" s="8" t="s">
        <v>13</v>
      </c>
      <c r="N46" s="29" t="s">
        <v>74</v>
      </c>
      <c r="O46" s="6" t="s">
        <v>63</v>
      </c>
      <c r="P46" s="18" t="s">
        <v>16</v>
      </c>
    </row>
    <row r="47" spans="1:16" ht="13" thickBot="1">
      <c r="A47" s="40" t="s">
        <v>31</v>
      </c>
      <c r="B47" s="41"/>
      <c r="C47" s="42"/>
      <c r="D47" s="42"/>
      <c r="E47" s="42"/>
      <c r="F47" s="42"/>
      <c r="G47" s="42"/>
      <c r="H47" s="42"/>
      <c r="I47" s="42"/>
      <c r="J47" s="42">
        <v>296587.7</v>
      </c>
      <c r="K47" s="42">
        <v>317895.69</v>
      </c>
      <c r="L47" s="42">
        <v>293687.39</v>
      </c>
      <c r="M47" s="43">
        <v>259858.4</v>
      </c>
      <c r="N47" s="46">
        <f>SUM(B47:M47)</f>
        <v>1168029.18</v>
      </c>
      <c r="O47" s="44" t="s">
        <v>46</v>
      </c>
      <c r="P47" s="45" t="e">
        <f>N47/O47-1</f>
        <v>#VALUE!</v>
      </c>
    </row>
    <row r="48" spans="1:16">
      <c r="B48" s="28" t="e">
        <f>B47/'TRT 2003'!B47-1</f>
        <v>#DIV/0!</v>
      </c>
      <c r="C48" s="28" t="e">
        <f>C47/'TRT 2003'!C47-1</f>
        <v>#DIV/0!</v>
      </c>
      <c r="D48" s="28" t="e">
        <f>D47/'TRT 2003'!D47-1</f>
        <v>#DIV/0!</v>
      </c>
      <c r="E48" s="28" t="e">
        <f>E47/'TRT 2003'!E47-1</f>
        <v>#DIV/0!</v>
      </c>
      <c r="F48" s="28" t="e">
        <f>F47/'TRT 2003'!F47-1</f>
        <v>#DIV/0!</v>
      </c>
      <c r="G48" s="28" t="e">
        <f>G47/'TRT 2003'!G47-1</f>
        <v>#DIV/0!</v>
      </c>
      <c r="H48" s="28" t="e">
        <f>H47/'TRT 2003'!H47-1</f>
        <v>#DIV/0!</v>
      </c>
      <c r="I48" s="28" t="e">
        <f>I47/'TRT 2003'!I47-1</f>
        <v>#DIV/0!</v>
      </c>
      <c r="J48" s="28" t="e">
        <f>J47/'TRT 2003'!J47-1</f>
        <v>#DIV/0!</v>
      </c>
      <c r="K48" s="28" t="e">
        <f>K47/'TRT 2003'!K47-1</f>
        <v>#DIV/0!</v>
      </c>
      <c r="L48" s="28" t="e">
        <f>L47/'TRT 2003'!L47-1</f>
        <v>#DIV/0!</v>
      </c>
      <c r="M48" s="28" t="e">
        <f>M47/'TRT 2003'!M47-1</f>
        <v>#DIV/0!</v>
      </c>
      <c r="N48" s="28" t="e">
        <f>N47/'TRT 2003'!N47-1</f>
        <v>#DIV/0!</v>
      </c>
    </row>
  </sheetData>
  <mergeCells count="3">
    <mergeCell ref="A1:P1"/>
    <mergeCell ref="A36:P36"/>
    <mergeCell ref="A44:P44"/>
  </mergeCells>
  <phoneticPr fontId="0" type="noConversion"/>
  <pageMargins left="0.75" right="0.75" top="1" bottom="1" header="0.5" footer="0.5"/>
  <pageSetup scale="71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 enableFormatConditionsCalculation="0">
    <tabColor rgb="FF0070C0"/>
    <pageSetUpPr fitToPage="1"/>
  </sheetPr>
  <dimension ref="A1:P40"/>
  <sheetViews>
    <sheetView workbookViewId="0">
      <selection activeCell="B30" sqref="B30:M30"/>
    </sheetView>
  </sheetViews>
  <sheetFormatPr baseColWidth="10" defaultColWidth="8.83203125" defaultRowHeight="12" x14ac:dyDescent="0"/>
  <cols>
    <col min="2" max="4" width="9.33203125" customWidth="1"/>
    <col min="5" max="5" width="9.5" customWidth="1"/>
    <col min="6" max="10" width="9.33203125" customWidth="1"/>
    <col min="11" max="13" width="9.33203125" bestFit="1" customWidth="1"/>
    <col min="14" max="14" width="13.5" bestFit="1" customWidth="1"/>
    <col min="15" max="15" width="9.5" bestFit="1" customWidth="1"/>
    <col min="16" max="16" width="10.1640625" bestFit="1" customWidth="1"/>
  </cols>
  <sheetData>
    <row r="1" spans="1:16" ht="21">
      <c r="A1" s="691" t="s">
        <v>62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16" ht="13" thickBot="1">
      <c r="A2" s="47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3" thickBot="1">
      <c r="A3" s="5" t="s">
        <v>42</v>
      </c>
      <c r="B3" s="7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8" t="s">
        <v>13</v>
      </c>
      <c r="N3" s="52" t="s">
        <v>63</v>
      </c>
      <c r="O3" s="91" t="s">
        <v>47</v>
      </c>
      <c r="P3" s="18" t="s">
        <v>16</v>
      </c>
    </row>
    <row r="4" spans="1:16">
      <c r="A4" s="49" t="s">
        <v>17</v>
      </c>
      <c r="B4" s="50">
        <v>1055.1099999999999</v>
      </c>
      <c r="C4" s="19">
        <v>11651.44</v>
      </c>
      <c r="D4" s="19">
        <v>4732.58</v>
      </c>
      <c r="E4" s="19">
        <v>992.67</v>
      </c>
      <c r="F4" s="19">
        <v>13085.89</v>
      </c>
      <c r="G4" s="19">
        <v>1610.5</v>
      </c>
      <c r="H4" s="19">
        <v>1577.56</v>
      </c>
      <c r="I4" s="19">
        <v>19949.79</v>
      </c>
      <c r="J4" s="19">
        <v>2531.98</v>
      </c>
      <c r="K4" s="19">
        <v>2872.08</v>
      </c>
      <c r="L4" s="19">
        <v>20637.060000000001</v>
      </c>
      <c r="M4" s="51">
        <v>12088.93</v>
      </c>
      <c r="N4" s="81">
        <f>SUM(B4:M4)</f>
        <v>92785.59</v>
      </c>
      <c r="O4" s="19">
        <v>97162</v>
      </c>
      <c r="P4" s="77">
        <f>N4/O4-1</f>
        <v>-4.5042403408740106E-2</v>
      </c>
    </row>
    <row r="5" spans="1:16">
      <c r="A5" s="49" t="s">
        <v>18</v>
      </c>
      <c r="B5" s="50">
        <v>2470.83</v>
      </c>
      <c r="C5" s="19">
        <v>9577.35</v>
      </c>
      <c r="D5" s="19">
        <v>3905.49</v>
      </c>
      <c r="E5" s="19">
        <v>2338.1999999999998</v>
      </c>
      <c r="F5" s="19">
        <v>8123.63</v>
      </c>
      <c r="G5" s="19">
        <v>2991.41</v>
      </c>
      <c r="H5" s="19">
        <v>3393.66</v>
      </c>
      <c r="I5" s="19">
        <v>14013.23</v>
      </c>
      <c r="J5" s="19">
        <v>5787.67</v>
      </c>
      <c r="K5" s="19">
        <v>11063.43</v>
      </c>
      <c r="L5" s="19">
        <v>11732.2</v>
      </c>
      <c r="M5" s="51">
        <v>5158.91</v>
      </c>
      <c r="N5" s="81">
        <f t="shared" ref="N5:N32" si="0">SUM(B5:M5)</f>
        <v>80556.010000000009</v>
      </c>
      <c r="O5" s="19">
        <v>81918</v>
      </c>
      <c r="P5" s="77">
        <f t="shared" ref="P5:P31" si="1">N5/O5-1</f>
        <v>-1.6626260406748083E-2</v>
      </c>
    </row>
    <row r="6" spans="1:16">
      <c r="A6" s="49" t="s">
        <v>19</v>
      </c>
      <c r="B6" s="50">
        <v>8153.67</v>
      </c>
      <c r="C6" s="19">
        <v>16181.18</v>
      </c>
      <c r="D6" s="19">
        <v>8556.27</v>
      </c>
      <c r="E6" s="19">
        <v>23524.5</v>
      </c>
      <c r="F6" s="19">
        <v>23528.18</v>
      </c>
      <c r="G6" s="19">
        <v>17222.439999999999</v>
      </c>
      <c r="H6" s="19">
        <v>12377.02</v>
      </c>
      <c r="I6" s="19">
        <v>45782.41</v>
      </c>
      <c r="J6" s="19">
        <v>16452.11</v>
      </c>
      <c r="K6" s="19">
        <v>32381.360000000001</v>
      </c>
      <c r="L6" s="19">
        <v>41893.32</v>
      </c>
      <c r="M6" s="51">
        <v>17146.939999999999</v>
      </c>
      <c r="N6" s="81">
        <f t="shared" si="0"/>
        <v>263199.39999999997</v>
      </c>
      <c r="O6" s="19">
        <v>227977</v>
      </c>
      <c r="P6" s="77">
        <f t="shared" si="1"/>
        <v>0.15449979603205577</v>
      </c>
    </row>
    <row r="7" spans="1:16">
      <c r="A7" s="49" t="s">
        <v>20</v>
      </c>
      <c r="B7" s="50">
        <v>6270.87</v>
      </c>
      <c r="C7" s="19">
        <v>9155.51</v>
      </c>
      <c r="D7" s="19">
        <v>4613.99</v>
      </c>
      <c r="E7" s="19">
        <v>6276.2</v>
      </c>
      <c r="F7" s="19">
        <v>12905.82</v>
      </c>
      <c r="G7" s="19">
        <v>8127.14</v>
      </c>
      <c r="H7" s="19">
        <v>9918.25</v>
      </c>
      <c r="I7" s="19">
        <v>22718.53</v>
      </c>
      <c r="J7" s="19">
        <v>13781.88</v>
      </c>
      <c r="K7" s="19">
        <v>15033.45</v>
      </c>
      <c r="L7" s="19">
        <v>20892.52</v>
      </c>
      <c r="M7" s="51">
        <v>13736.26</v>
      </c>
      <c r="N7" s="81">
        <f t="shared" si="0"/>
        <v>143430.42000000001</v>
      </c>
      <c r="O7" s="19">
        <v>130873</v>
      </c>
      <c r="P7" s="77">
        <f t="shared" si="1"/>
        <v>9.5951189320944819E-2</v>
      </c>
    </row>
    <row r="8" spans="1:16">
      <c r="A8" s="49" t="s">
        <v>21</v>
      </c>
      <c r="B8" s="50">
        <v>1200.82</v>
      </c>
      <c r="C8" s="19">
        <v>2095.44</v>
      </c>
      <c r="D8" s="19">
        <v>24.49</v>
      </c>
      <c r="E8" s="19">
        <v>1433.31</v>
      </c>
      <c r="F8" s="19">
        <v>5568.67</v>
      </c>
      <c r="G8" s="19">
        <v>5005.95</v>
      </c>
      <c r="H8" s="19">
        <v>4893.7299999999996</v>
      </c>
      <c r="I8" s="19">
        <v>11727.3</v>
      </c>
      <c r="J8" s="19">
        <v>7686.15</v>
      </c>
      <c r="K8" s="19">
        <v>4940.33</v>
      </c>
      <c r="L8" s="19">
        <v>8378.7999999999993</v>
      </c>
      <c r="M8" s="51">
        <v>1188.5899999999999</v>
      </c>
      <c r="N8" s="81">
        <f t="shared" si="0"/>
        <v>54143.58</v>
      </c>
      <c r="O8" s="19">
        <v>52633</v>
      </c>
      <c r="P8" s="77">
        <f t="shared" si="1"/>
        <v>2.8700245093382426E-2</v>
      </c>
    </row>
    <row r="9" spans="1:16">
      <c r="A9" s="49" t="s">
        <v>22</v>
      </c>
      <c r="B9" s="50">
        <v>32101.34</v>
      </c>
      <c r="C9" s="19">
        <v>29720.23</v>
      </c>
      <c r="D9" s="19">
        <v>21204.67</v>
      </c>
      <c r="E9" s="19">
        <v>33739.120000000003</v>
      </c>
      <c r="F9" s="19">
        <v>33925.99</v>
      </c>
      <c r="G9" s="19">
        <v>53355.35</v>
      </c>
      <c r="H9" s="19">
        <v>36904.53</v>
      </c>
      <c r="I9" s="19">
        <v>54518.33</v>
      </c>
      <c r="J9" s="19">
        <v>58539.99</v>
      </c>
      <c r="K9" s="19">
        <v>45188.6</v>
      </c>
      <c r="L9" s="19">
        <v>62764.36</v>
      </c>
      <c r="M9" s="51">
        <v>28466.79</v>
      </c>
      <c r="N9" s="81">
        <f t="shared" si="0"/>
        <v>490429.29999999993</v>
      </c>
      <c r="O9" s="19">
        <v>475000</v>
      </c>
      <c r="P9" s="77">
        <f t="shared" si="1"/>
        <v>3.2482736842105009E-2</v>
      </c>
    </row>
    <row r="10" spans="1:16">
      <c r="A10" s="49" t="s">
        <v>23</v>
      </c>
      <c r="B10" s="50">
        <v>1424.99</v>
      </c>
      <c r="C10" s="19">
        <v>3469.54</v>
      </c>
      <c r="D10" s="19">
        <v>740.82</v>
      </c>
      <c r="E10" s="19">
        <v>648.5</v>
      </c>
      <c r="F10" s="19">
        <v>2620.9699999999998</v>
      </c>
      <c r="G10" s="19">
        <v>819.68</v>
      </c>
      <c r="H10" s="19">
        <v>1369.04</v>
      </c>
      <c r="I10" s="19">
        <v>5474.02</v>
      </c>
      <c r="J10" s="19">
        <v>2979.47</v>
      </c>
      <c r="K10" s="19">
        <v>2366.6</v>
      </c>
      <c r="L10" s="19">
        <v>8252.25</v>
      </c>
      <c r="M10" s="51">
        <v>1140.3599999999999</v>
      </c>
      <c r="N10" s="81">
        <f t="shared" si="0"/>
        <v>31306.240000000002</v>
      </c>
      <c r="O10" s="19">
        <v>29800</v>
      </c>
      <c r="P10" s="77">
        <f t="shared" si="1"/>
        <v>5.0544966442953143E-2</v>
      </c>
    </row>
    <row r="11" spans="1:16">
      <c r="A11" s="49" t="s">
        <v>51</v>
      </c>
      <c r="B11" s="50">
        <v>4840.25</v>
      </c>
      <c r="C11" s="19">
        <v>7922.66</v>
      </c>
      <c r="D11" s="19">
        <v>3942.39</v>
      </c>
      <c r="E11" s="19">
        <v>2603.8000000000002</v>
      </c>
      <c r="F11" s="19">
        <v>9535.99</v>
      </c>
      <c r="G11" s="19">
        <v>11235.37</v>
      </c>
      <c r="H11" s="19">
        <v>12751.23</v>
      </c>
      <c r="I11" s="19">
        <v>26386.44</v>
      </c>
      <c r="J11" s="19">
        <v>15489.96</v>
      </c>
      <c r="K11" s="19">
        <v>14434.65</v>
      </c>
      <c r="L11" s="19">
        <v>20737.439999999999</v>
      </c>
      <c r="M11" s="51">
        <v>7457.85</v>
      </c>
      <c r="N11" s="81">
        <f t="shared" si="0"/>
        <v>137338.03</v>
      </c>
      <c r="O11" s="19">
        <v>132162</v>
      </c>
      <c r="P11" s="77">
        <f t="shared" si="1"/>
        <v>3.9164283228159347E-2</v>
      </c>
    </row>
    <row r="12" spans="1:16">
      <c r="A12" s="49" t="s">
        <v>24</v>
      </c>
      <c r="B12" s="50">
        <v>9506.74</v>
      </c>
      <c r="C12" s="19">
        <v>19105.95</v>
      </c>
      <c r="D12" s="19">
        <v>3484.67</v>
      </c>
      <c r="E12" s="19">
        <v>4157.1099999999997</v>
      </c>
      <c r="F12" s="19">
        <v>14254.05</v>
      </c>
      <c r="G12" s="19">
        <v>31949.39</v>
      </c>
      <c r="H12" s="19">
        <v>54999.519999999997</v>
      </c>
      <c r="I12" s="19">
        <v>98964.77</v>
      </c>
      <c r="J12" s="19">
        <v>56893.9</v>
      </c>
      <c r="K12" s="19">
        <v>62235.81</v>
      </c>
      <c r="L12" s="19">
        <v>108916.77</v>
      </c>
      <c r="M12" s="51">
        <v>34646.519999999997</v>
      </c>
      <c r="N12" s="81">
        <f t="shared" si="0"/>
        <v>499115.20000000007</v>
      </c>
      <c r="O12" s="19">
        <v>460292</v>
      </c>
      <c r="P12" s="77">
        <f t="shared" si="1"/>
        <v>8.4344720307978571E-2</v>
      </c>
    </row>
    <row r="13" spans="1:16">
      <c r="A13" s="49" t="s">
        <v>25</v>
      </c>
      <c r="B13" s="50">
        <v>32297</v>
      </c>
      <c r="C13" s="19">
        <v>32297</v>
      </c>
      <c r="D13" s="19">
        <v>32297</v>
      </c>
      <c r="E13" s="19">
        <v>118113</v>
      </c>
      <c r="F13" s="19">
        <v>118113</v>
      </c>
      <c r="G13" s="19">
        <v>118113</v>
      </c>
      <c r="H13" s="19">
        <v>98459</v>
      </c>
      <c r="I13" s="19">
        <v>98459</v>
      </c>
      <c r="J13" s="19">
        <v>98459</v>
      </c>
      <c r="K13" s="19">
        <v>44869</v>
      </c>
      <c r="L13" s="19">
        <v>44869</v>
      </c>
      <c r="M13" s="51">
        <v>44869</v>
      </c>
      <c r="N13" s="81">
        <f t="shared" si="0"/>
        <v>881214</v>
      </c>
      <c r="O13" s="19">
        <v>754440</v>
      </c>
      <c r="P13" s="77">
        <f t="shared" si="1"/>
        <v>0.16803721965961516</v>
      </c>
    </row>
    <row r="14" spans="1:16">
      <c r="A14" s="49" t="s">
        <v>26</v>
      </c>
      <c r="B14" s="50">
        <v>9390.74</v>
      </c>
      <c r="C14" s="19">
        <v>54502.35</v>
      </c>
      <c r="D14" s="19">
        <v>10851.64</v>
      </c>
      <c r="E14" s="19">
        <v>12676.27</v>
      </c>
      <c r="F14" s="19">
        <v>83680.639999999999</v>
      </c>
      <c r="G14" s="19">
        <v>21265.55</v>
      </c>
      <c r="H14" s="19">
        <v>17581.46</v>
      </c>
      <c r="I14" s="19">
        <v>72669.97</v>
      </c>
      <c r="J14" s="19">
        <v>58458.13</v>
      </c>
      <c r="K14" s="19">
        <v>41458.49</v>
      </c>
      <c r="L14" s="19">
        <v>65992.710000000006</v>
      </c>
      <c r="M14" s="51">
        <v>26208.26</v>
      </c>
      <c r="N14" s="81">
        <f t="shared" si="0"/>
        <v>474736.21</v>
      </c>
      <c r="O14" s="19">
        <v>450920</v>
      </c>
      <c r="P14" s="77">
        <f t="shared" si="1"/>
        <v>5.2816929832342874E-2</v>
      </c>
    </row>
    <row r="15" spans="1:16">
      <c r="A15" s="49" t="s">
        <v>27</v>
      </c>
      <c r="B15" s="50"/>
      <c r="C15" s="19">
        <v>8297.07</v>
      </c>
      <c r="D15" s="19">
        <v>73.38</v>
      </c>
      <c r="E15" s="19">
        <v>1.58</v>
      </c>
      <c r="F15" s="19">
        <v>10557.9</v>
      </c>
      <c r="G15" s="19">
        <v>2172.4</v>
      </c>
      <c r="H15" s="19">
        <v>292.76</v>
      </c>
      <c r="I15" s="19">
        <v>17558.689999999999</v>
      </c>
      <c r="J15" s="19">
        <v>519.32000000000005</v>
      </c>
      <c r="K15" s="19">
        <v>167.44</v>
      </c>
      <c r="L15" s="19">
        <v>21280.23</v>
      </c>
      <c r="M15" s="51">
        <v>56.53</v>
      </c>
      <c r="N15" s="81">
        <f t="shared" si="0"/>
        <v>60977.3</v>
      </c>
      <c r="O15" s="19">
        <v>53643</v>
      </c>
      <c r="P15" s="77">
        <f t="shared" si="1"/>
        <v>0.13672426970900209</v>
      </c>
    </row>
    <row r="16" spans="1:16">
      <c r="A16" s="49" t="s">
        <v>28</v>
      </c>
      <c r="B16" s="50">
        <v>9540.8700000000008</v>
      </c>
      <c r="C16" s="19">
        <v>15992.25</v>
      </c>
      <c r="D16" s="19">
        <v>3629.43</v>
      </c>
      <c r="E16" s="19">
        <v>4501.2</v>
      </c>
      <c r="F16" s="19">
        <v>16968.5</v>
      </c>
      <c r="G16" s="19">
        <v>20513.12</v>
      </c>
      <c r="H16" s="19">
        <v>28332.68</v>
      </c>
      <c r="I16" s="19">
        <v>58284.38</v>
      </c>
      <c r="J16" s="19">
        <v>27253.02</v>
      </c>
      <c r="K16" s="19">
        <v>27236.09</v>
      </c>
      <c r="L16" s="19">
        <v>47760.17</v>
      </c>
      <c r="M16" s="51">
        <v>40944.67</v>
      </c>
      <c r="N16" s="81">
        <f t="shared" si="0"/>
        <v>300956.37999999995</v>
      </c>
      <c r="O16" s="19">
        <v>269557</v>
      </c>
      <c r="P16" s="77">
        <f t="shared" si="1"/>
        <v>0.11648512188516702</v>
      </c>
    </row>
    <row r="17" spans="1:16">
      <c r="A17" s="49" t="s">
        <v>52</v>
      </c>
      <c r="B17" s="50">
        <v>2380.89</v>
      </c>
      <c r="C17" s="19">
        <v>12765.15</v>
      </c>
      <c r="D17" s="19">
        <v>1547.52</v>
      </c>
      <c r="E17" s="19">
        <v>2456.9699999999998</v>
      </c>
      <c r="F17" s="19">
        <v>12961.95</v>
      </c>
      <c r="G17" s="19">
        <v>1856.73</v>
      </c>
      <c r="H17" s="19">
        <v>10790.78</v>
      </c>
      <c r="I17" s="19">
        <v>14639.52</v>
      </c>
      <c r="J17" s="19">
        <v>2798.42</v>
      </c>
      <c r="K17" s="19">
        <v>4683.41</v>
      </c>
      <c r="L17" s="19">
        <v>14017.11</v>
      </c>
      <c r="M17" s="51">
        <v>2932.5</v>
      </c>
      <c r="N17" s="81">
        <f t="shared" si="0"/>
        <v>83830.95</v>
      </c>
      <c r="O17" s="19">
        <v>80125</v>
      </c>
      <c r="P17" s="77">
        <f t="shared" si="1"/>
        <v>4.625210608424335E-2</v>
      </c>
    </row>
    <row r="18" spans="1:16">
      <c r="A18" s="49" t="s">
        <v>29</v>
      </c>
      <c r="B18" s="50"/>
      <c r="C18" s="19">
        <v>33.36</v>
      </c>
      <c r="D18" s="19">
        <v>0.68</v>
      </c>
      <c r="E18" s="19">
        <v>0.28999999999999998</v>
      </c>
      <c r="F18" s="19">
        <v>0.89</v>
      </c>
      <c r="G18" s="19">
        <v>48.96</v>
      </c>
      <c r="H18" s="19">
        <v>120.55</v>
      </c>
      <c r="I18" s="19">
        <v>435.31</v>
      </c>
      <c r="J18" s="19">
        <v>251.43</v>
      </c>
      <c r="K18" s="19">
        <v>189.92</v>
      </c>
      <c r="L18" s="19">
        <v>381.9</v>
      </c>
      <c r="M18" s="51">
        <v>17.14</v>
      </c>
      <c r="N18" s="81">
        <f t="shared" si="0"/>
        <v>1480.43</v>
      </c>
      <c r="O18" s="19">
        <v>1301</v>
      </c>
      <c r="P18" s="77">
        <f t="shared" si="1"/>
        <v>0.13791698693312848</v>
      </c>
    </row>
    <row r="19" spans="1:16">
      <c r="A19" s="49" t="s">
        <v>53</v>
      </c>
      <c r="B19" s="50">
        <v>84.48</v>
      </c>
      <c r="C19" s="19">
        <v>968.87</v>
      </c>
      <c r="D19" s="19"/>
      <c r="E19" s="19">
        <v>659.66</v>
      </c>
      <c r="F19" s="19">
        <v>355.46</v>
      </c>
      <c r="G19" s="19">
        <v>188.04</v>
      </c>
      <c r="H19" s="19">
        <v>195.66</v>
      </c>
      <c r="I19" s="19">
        <v>1976.98</v>
      </c>
      <c r="J19" s="19">
        <v>363.79</v>
      </c>
      <c r="K19" s="19">
        <v>1430.62</v>
      </c>
      <c r="L19" s="19">
        <v>3838.42</v>
      </c>
      <c r="M19" s="51">
        <v>973.72</v>
      </c>
      <c r="N19" s="81">
        <f t="shared" si="0"/>
        <v>11035.699999999999</v>
      </c>
      <c r="O19" s="19">
        <v>7667</v>
      </c>
      <c r="P19" s="77">
        <f t="shared" si="1"/>
        <v>0.43937654884570221</v>
      </c>
    </row>
    <row r="20" spans="1:16">
      <c r="A20" s="49" t="s">
        <v>30</v>
      </c>
      <c r="B20" s="50">
        <v>149.19</v>
      </c>
      <c r="C20" s="19">
        <v>2304.7600000000002</v>
      </c>
      <c r="D20" s="19">
        <v>319.95999999999998</v>
      </c>
      <c r="E20" s="19">
        <v>337</v>
      </c>
      <c r="F20" s="19">
        <v>672.9</v>
      </c>
      <c r="G20" s="19">
        <v>2808.93</v>
      </c>
      <c r="H20" s="19">
        <v>408.03</v>
      </c>
      <c r="I20" s="19">
        <v>10073.44</v>
      </c>
      <c r="J20" s="19">
        <v>3436.11</v>
      </c>
      <c r="K20" s="19">
        <v>3100.87</v>
      </c>
      <c r="L20" s="19">
        <v>28327.23</v>
      </c>
      <c r="M20" s="51">
        <v>403.05</v>
      </c>
      <c r="N20" s="81">
        <f t="shared" si="0"/>
        <v>52341.47</v>
      </c>
      <c r="O20" s="19">
        <v>54743</v>
      </c>
      <c r="P20" s="77">
        <f t="shared" si="1"/>
        <v>-4.3869170487550901E-2</v>
      </c>
    </row>
    <row r="21" spans="1:16">
      <c r="A21" s="49" t="s">
        <v>31</v>
      </c>
      <c r="B21" s="50">
        <v>406279.67</v>
      </c>
      <c r="C21" s="19">
        <v>506197.29</v>
      </c>
      <c r="D21" s="19">
        <v>552053.43000000005</v>
      </c>
      <c r="E21" s="19">
        <v>796302.53</v>
      </c>
      <c r="F21" s="19">
        <v>868470.61</v>
      </c>
      <c r="G21" s="19">
        <v>691619.62</v>
      </c>
      <c r="H21" s="19">
        <v>432578.43</v>
      </c>
      <c r="I21" s="19">
        <v>700416.87</v>
      </c>
      <c r="J21" s="19">
        <v>608490.49</v>
      </c>
      <c r="K21" s="19">
        <v>684010.52</v>
      </c>
      <c r="L21" s="19">
        <v>663981.28</v>
      </c>
      <c r="M21" s="51">
        <v>586867.38</v>
      </c>
      <c r="N21" s="81">
        <f t="shared" si="0"/>
        <v>7497268.120000001</v>
      </c>
      <c r="O21" s="19">
        <v>7589382</v>
      </c>
      <c r="P21" s="77">
        <f t="shared" si="1"/>
        <v>-1.2137204320457062E-2</v>
      </c>
    </row>
    <row r="22" spans="1:16">
      <c r="A22" s="49" t="s">
        <v>45</v>
      </c>
      <c r="B22" s="50">
        <v>1163.49</v>
      </c>
      <c r="C22" s="19">
        <v>17134.82</v>
      </c>
      <c r="D22" s="19">
        <v>1704.34</v>
      </c>
      <c r="E22" s="19">
        <v>8438.4500000000007</v>
      </c>
      <c r="F22" s="19">
        <v>18330.330000000002</v>
      </c>
      <c r="G22" s="19">
        <v>12592.32</v>
      </c>
      <c r="H22" s="19">
        <v>14177.44</v>
      </c>
      <c r="I22" s="19">
        <v>54904.11</v>
      </c>
      <c r="J22" s="19">
        <v>14173.97</v>
      </c>
      <c r="K22" s="19">
        <v>16146.95</v>
      </c>
      <c r="L22" s="19">
        <v>57890.91</v>
      </c>
      <c r="M22" s="51">
        <v>13621.28</v>
      </c>
      <c r="N22" s="81">
        <f t="shared" si="0"/>
        <v>230278.41</v>
      </c>
      <c r="O22" s="19">
        <v>218363</v>
      </c>
      <c r="P22" s="77">
        <f t="shared" si="1"/>
        <v>5.4566982501614403E-2</v>
      </c>
    </row>
    <row r="23" spans="1:16">
      <c r="A23" s="49" t="s">
        <v>32</v>
      </c>
      <c r="B23" s="50">
        <v>941.88</v>
      </c>
      <c r="C23" s="19">
        <v>2677.85</v>
      </c>
      <c r="D23" s="19">
        <v>2674.84</v>
      </c>
      <c r="E23" s="19">
        <v>4604.8500000000004</v>
      </c>
      <c r="F23" s="19">
        <v>5041.16</v>
      </c>
      <c r="G23" s="19">
        <v>1148.42</v>
      </c>
      <c r="H23" s="19">
        <v>1494.97</v>
      </c>
      <c r="I23" s="19">
        <v>8513.6</v>
      </c>
      <c r="J23" s="19">
        <v>1268.95</v>
      </c>
      <c r="K23" s="19">
        <v>2088.2600000000002</v>
      </c>
      <c r="L23" s="19">
        <v>6657.29</v>
      </c>
      <c r="M23" s="51">
        <v>1338.21</v>
      </c>
      <c r="N23" s="81">
        <f t="shared" si="0"/>
        <v>38450.28</v>
      </c>
      <c r="O23" s="19">
        <v>38667</v>
      </c>
      <c r="P23" s="77">
        <f t="shared" si="1"/>
        <v>-5.6047792691442666E-3</v>
      </c>
    </row>
    <row r="24" spans="1:16">
      <c r="A24" s="49" t="s">
        <v>33</v>
      </c>
      <c r="B24" s="50">
        <v>1766.37</v>
      </c>
      <c r="C24" s="19">
        <v>16991.02</v>
      </c>
      <c r="D24" s="19">
        <v>14342.3</v>
      </c>
      <c r="E24" s="19">
        <v>1331</v>
      </c>
      <c r="F24" s="19">
        <v>24524.76</v>
      </c>
      <c r="G24" s="19">
        <v>5567.99</v>
      </c>
      <c r="H24" s="19">
        <v>7949.65</v>
      </c>
      <c r="I24" s="19">
        <v>53112.160000000003</v>
      </c>
      <c r="J24" s="19">
        <v>11649.65</v>
      </c>
      <c r="K24" s="19">
        <v>11376.66</v>
      </c>
      <c r="L24" s="19">
        <v>47259.01</v>
      </c>
      <c r="M24" s="51">
        <v>8241.86</v>
      </c>
      <c r="N24" s="81">
        <f t="shared" si="0"/>
        <v>204112.43</v>
      </c>
      <c r="O24" s="19">
        <v>204048</v>
      </c>
      <c r="P24" s="77">
        <f t="shared" si="1"/>
        <v>3.1575903708924713E-4</v>
      </c>
    </row>
    <row r="25" spans="1:16">
      <c r="A25" s="49" t="s">
        <v>34</v>
      </c>
      <c r="B25" s="50">
        <v>72551.240000000005</v>
      </c>
      <c r="C25" s="19">
        <v>416931.46</v>
      </c>
      <c r="D25" s="19">
        <v>578395.81999999995</v>
      </c>
      <c r="E25" s="19">
        <v>641829.38</v>
      </c>
      <c r="F25" s="19">
        <v>762953.86</v>
      </c>
      <c r="G25" s="19">
        <v>121794.26</v>
      </c>
      <c r="H25" s="19">
        <v>56123.37</v>
      </c>
      <c r="I25" s="19">
        <v>98163.77</v>
      </c>
      <c r="J25" s="19">
        <v>165294.54</v>
      </c>
      <c r="K25" s="19">
        <v>183644.71</v>
      </c>
      <c r="L25" s="19">
        <v>134739.26999999999</v>
      </c>
      <c r="M25" s="51">
        <v>82579.83</v>
      </c>
      <c r="N25" s="81">
        <f t="shared" si="0"/>
        <v>3315001.51</v>
      </c>
      <c r="O25" s="19">
        <v>3281403</v>
      </c>
      <c r="P25" s="77">
        <f t="shared" si="1"/>
        <v>1.0239068471626256E-2</v>
      </c>
    </row>
    <row r="26" spans="1:16">
      <c r="A26" s="49" t="s">
        <v>35</v>
      </c>
      <c r="B26" s="50">
        <v>4943.41</v>
      </c>
      <c r="C26" s="19">
        <v>14428.37</v>
      </c>
      <c r="D26" s="19">
        <v>2984.37</v>
      </c>
      <c r="E26" s="19">
        <v>2467.59</v>
      </c>
      <c r="F26" s="19">
        <v>15488.07</v>
      </c>
      <c r="G26" s="19">
        <v>5926.64</v>
      </c>
      <c r="H26" s="19">
        <v>3773.24</v>
      </c>
      <c r="I26" s="19">
        <v>25989.95</v>
      </c>
      <c r="J26" s="19">
        <v>4848.91</v>
      </c>
      <c r="K26" s="19">
        <v>5685.91</v>
      </c>
      <c r="L26" s="19">
        <v>32439.919999999998</v>
      </c>
      <c r="M26" s="51">
        <v>4801.42</v>
      </c>
      <c r="N26" s="81">
        <f t="shared" si="0"/>
        <v>123777.8</v>
      </c>
      <c r="O26" s="19">
        <v>120013</v>
      </c>
      <c r="P26" s="77">
        <f t="shared" si="1"/>
        <v>3.1369934923716647E-2</v>
      </c>
    </row>
    <row r="27" spans="1:16">
      <c r="A27" s="49" t="s">
        <v>36</v>
      </c>
      <c r="B27" s="50">
        <v>6812.44</v>
      </c>
      <c r="C27" s="19">
        <v>15248.08</v>
      </c>
      <c r="D27" s="19">
        <v>6644.67</v>
      </c>
      <c r="E27" s="19">
        <v>6557.14</v>
      </c>
      <c r="F27" s="19">
        <v>17843.400000000001</v>
      </c>
      <c r="G27" s="19">
        <v>7478.37</v>
      </c>
      <c r="H27" s="19">
        <v>9628.57</v>
      </c>
      <c r="I27" s="19">
        <v>30636.68</v>
      </c>
      <c r="J27" s="19">
        <v>22814.68</v>
      </c>
      <c r="K27" s="19">
        <v>14418.82</v>
      </c>
      <c r="L27" s="19">
        <v>37469.25</v>
      </c>
      <c r="M27" s="51">
        <v>9629.59</v>
      </c>
      <c r="N27" s="81">
        <f t="shared" si="0"/>
        <v>185181.69</v>
      </c>
      <c r="O27" s="19">
        <v>163689</v>
      </c>
      <c r="P27" s="77">
        <f t="shared" si="1"/>
        <v>0.13130198119604852</v>
      </c>
    </row>
    <row r="28" spans="1:16">
      <c r="A28" s="49" t="s">
        <v>37</v>
      </c>
      <c r="B28" s="50">
        <v>65289</v>
      </c>
      <c r="C28" s="19">
        <v>58134</v>
      </c>
      <c r="D28" s="19">
        <v>77944</v>
      </c>
      <c r="E28" s="19">
        <v>73276</v>
      </c>
      <c r="F28" s="19">
        <v>50134</v>
      </c>
      <c r="G28" s="19">
        <v>169624</v>
      </c>
      <c r="H28" s="19">
        <v>48783</v>
      </c>
      <c r="I28" s="19">
        <v>92649</v>
      </c>
      <c r="J28" s="19">
        <v>113328</v>
      </c>
      <c r="K28" s="19">
        <v>54511</v>
      </c>
      <c r="L28" s="19">
        <v>81551</v>
      </c>
      <c r="M28" s="51">
        <v>62842</v>
      </c>
      <c r="N28" s="81">
        <f t="shared" si="0"/>
        <v>948065</v>
      </c>
      <c r="O28" s="19">
        <v>927893</v>
      </c>
      <c r="P28" s="77">
        <f t="shared" si="1"/>
        <v>2.1739575576063208E-2</v>
      </c>
    </row>
    <row r="29" spans="1:16">
      <c r="A29" s="49" t="s">
        <v>38</v>
      </c>
      <c r="B29" s="50">
        <v>6080.53</v>
      </c>
      <c r="C29" s="19">
        <v>21629.13</v>
      </c>
      <c r="D29" s="19">
        <v>13874.25</v>
      </c>
      <c r="E29" s="19">
        <v>18510.21</v>
      </c>
      <c r="F29" s="19">
        <v>16790.98</v>
      </c>
      <c r="G29" s="19">
        <v>7560.59</v>
      </c>
      <c r="H29" s="19">
        <v>12389.28</v>
      </c>
      <c r="I29" s="19">
        <v>25095.41</v>
      </c>
      <c r="J29" s="19">
        <v>24275.59</v>
      </c>
      <c r="K29" s="19">
        <v>21525.18</v>
      </c>
      <c r="L29" s="19">
        <v>28369.63</v>
      </c>
      <c r="M29" s="51">
        <v>12347.16</v>
      </c>
      <c r="N29" s="81">
        <f t="shared" si="0"/>
        <v>208447.94</v>
      </c>
      <c r="O29" s="19">
        <v>204701</v>
      </c>
      <c r="P29" s="77">
        <f t="shared" si="1"/>
        <v>1.8304453813122512E-2</v>
      </c>
    </row>
    <row r="30" spans="1:16">
      <c r="A30" s="49" t="s">
        <v>39</v>
      </c>
      <c r="B30" s="50">
        <v>76301.100000000006</v>
      </c>
      <c r="C30" s="19">
        <v>126576.32000000001</v>
      </c>
      <c r="D30" s="19">
        <v>57414.53</v>
      </c>
      <c r="E30" s="19">
        <v>82148.17</v>
      </c>
      <c r="F30" s="19">
        <v>159440.70000000001</v>
      </c>
      <c r="G30" s="19">
        <v>117619.35</v>
      </c>
      <c r="H30" s="19">
        <v>97087.41</v>
      </c>
      <c r="I30" s="19">
        <v>240312.98</v>
      </c>
      <c r="J30" s="19">
        <v>107237.17</v>
      </c>
      <c r="K30" s="19">
        <v>115730.53</v>
      </c>
      <c r="L30" s="19">
        <v>210161.94</v>
      </c>
      <c r="M30" s="51">
        <v>136301.82999999999</v>
      </c>
      <c r="N30" s="81">
        <f t="shared" si="0"/>
        <v>1526332.03</v>
      </c>
      <c r="O30" s="19">
        <v>1371800</v>
      </c>
      <c r="P30" s="77">
        <f t="shared" si="1"/>
        <v>0.11264909607814544</v>
      </c>
    </row>
    <row r="31" spans="1:16">
      <c r="A31" s="49" t="s">
        <v>40</v>
      </c>
      <c r="B31" s="50">
        <v>1375.24</v>
      </c>
      <c r="C31" s="19">
        <v>9872.06</v>
      </c>
      <c r="D31" s="19">
        <v>2796.62</v>
      </c>
      <c r="E31" s="19">
        <v>3478.61</v>
      </c>
      <c r="F31" s="19">
        <v>5813.73</v>
      </c>
      <c r="G31" s="19">
        <v>1019.84</v>
      </c>
      <c r="H31" s="19">
        <v>2768.24</v>
      </c>
      <c r="I31" s="19">
        <v>29098.55</v>
      </c>
      <c r="J31" s="19">
        <v>5315.37</v>
      </c>
      <c r="K31" s="19">
        <v>5529.78</v>
      </c>
      <c r="L31" s="19"/>
      <c r="M31" s="51">
        <v>9636.16</v>
      </c>
      <c r="N31" s="81">
        <f t="shared" si="0"/>
        <v>76704.200000000012</v>
      </c>
      <c r="O31" s="19">
        <v>98641</v>
      </c>
      <c r="P31" s="77">
        <f t="shared" si="1"/>
        <v>-0.22239028395900273</v>
      </c>
    </row>
    <row r="32" spans="1:16" ht="13" thickBot="1">
      <c r="A32" s="53" t="s">
        <v>41</v>
      </c>
      <c r="B32" s="54">
        <v>25624.74</v>
      </c>
      <c r="C32" s="20">
        <v>44149.99</v>
      </c>
      <c r="D32" s="20">
        <v>25071.17</v>
      </c>
      <c r="E32" s="20">
        <v>31054.73</v>
      </c>
      <c r="F32" s="20">
        <v>48857.58</v>
      </c>
      <c r="G32" s="20">
        <v>38573.39</v>
      </c>
      <c r="H32" s="20">
        <v>37657.1</v>
      </c>
      <c r="I32" s="20">
        <v>55951.67</v>
      </c>
      <c r="J32" s="20">
        <v>42517.760000000002</v>
      </c>
      <c r="K32" s="20">
        <v>42428.51</v>
      </c>
      <c r="L32" s="20"/>
      <c r="M32" s="55">
        <v>32339.33</v>
      </c>
      <c r="N32" s="81">
        <f t="shared" si="0"/>
        <v>424225.97000000003</v>
      </c>
      <c r="O32" s="20">
        <v>528143</v>
      </c>
      <c r="P32" s="78">
        <f>N32/O32-1</f>
        <v>-0.1967592678498058</v>
      </c>
    </row>
    <row r="33" spans="1:16" ht="14" thickTop="1" thickBot="1">
      <c r="A33" s="56" t="s">
        <v>54</v>
      </c>
      <c r="B33" s="57">
        <f>SUM(B4:B32)</f>
        <v>789996.89999999991</v>
      </c>
      <c r="C33" s="58">
        <f>SUM(C4:C32)</f>
        <v>1486010.5</v>
      </c>
      <c r="D33" s="58">
        <f t="shared" ref="D33:L33" si="2">SUM(D4:D32)</f>
        <v>1435825.32</v>
      </c>
      <c r="E33" s="58">
        <f t="shared" si="2"/>
        <v>1884458.0399999998</v>
      </c>
      <c r="F33" s="58">
        <f t="shared" si="2"/>
        <v>2360549.6100000003</v>
      </c>
      <c r="G33" s="58">
        <f t="shared" si="2"/>
        <v>1479808.75</v>
      </c>
      <c r="H33" s="58">
        <f t="shared" si="2"/>
        <v>1018776.1599999999</v>
      </c>
      <c r="I33" s="58">
        <f t="shared" si="2"/>
        <v>1988476.8599999999</v>
      </c>
      <c r="J33" s="58">
        <f t="shared" si="2"/>
        <v>1492897.41</v>
      </c>
      <c r="K33" s="58">
        <f t="shared" si="2"/>
        <v>1470748.98</v>
      </c>
      <c r="L33" s="58">
        <f t="shared" si="2"/>
        <v>1831190.9899999998</v>
      </c>
      <c r="M33" s="59">
        <f>SUM(M4:M32)</f>
        <v>1197982.07</v>
      </c>
      <c r="N33" s="83">
        <f>SUM(N4:N32)</f>
        <v>18436721.59</v>
      </c>
      <c r="O33" s="80">
        <v>18106956</v>
      </c>
      <c r="P33" s="89">
        <f>N33/O33-1</f>
        <v>1.8212094291276681E-2</v>
      </c>
    </row>
    <row r="34" spans="1:16">
      <c r="B34" s="28">
        <f>B33/'TRT 2003'!B33-1</f>
        <v>-6.2627713767194448E-2</v>
      </c>
      <c r="C34" s="28">
        <f>C33/'TRT 2003'!C33-1</f>
        <v>-6.8117980923431132E-2</v>
      </c>
      <c r="D34" s="28">
        <f>D33/'TRT 2003'!D33-1</f>
        <v>-5.3567379000545201E-2</v>
      </c>
      <c r="E34" s="28">
        <f>E33/'TRT 2003'!E33-1</f>
        <v>0.26377256238848212</v>
      </c>
      <c r="F34" s="28">
        <f>F33/'TRT 2003'!F33-1</f>
        <v>5.3151175128052008E-2</v>
      </c>
      <c r="G34" s="28">
        <f>G33/'TRT 2003'!G33-1</f>
        <v>0.42345770356748447</v>
      </c>
      <c r="H34" s="28">
        <f>H33/'TRT 2003'!H33-1</f>
        <v>7.3488052269929938E-3</v>
      </c>
      <c r="I34" s="28">
        <f>I33/'TRT 2003'!I33-1</f>
        <v>0.14279359821242821</v>
      </c>
      <c r="J34" s="28">
        <f>J33/'TRT 2003'!J33-1</f>
        <v>0.1723831089841501</v>
      </c>
      <c r="K34" s="28">
        <f>K33/'TRT 2003'!K33-1</f>
        <v>0.19715481096621423</v>
      </c>
      <c r="L34" s="28">
        <f>L33/'TRT 2003'!L33-1</f>
        <v>-4.2343764299935471E-2</v>
      </c>
      <c r="M34" s="28">
        <f>M33/'TRT 2003'!M33-1</f>
        <v>-4.6288157662422669E-2</v>
      </c>
      <c r="N34" s="28">
        <f>N33/'TRT 2003'!N33-1</f>
        <v>1.8212094291276681E-2</v>
      </c>
    </row>
    <row r="36" spans="1:16" ht="21">
      <c r="A36" s="691" t="s">
        <v>64</v>
      </c>
      <c r="B36" s="691"/>
      <c r="C36" s="691"/>
      <c r="D36" s="691"/>
      <c r="E36" s="691"/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</row>
    <row r="37" spans="1:16" ht="13" thickBot="1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6" ht="13" thickBot="1">
      <c r="A38" s="5" t="s">
        <v>42</v>
      </c>
      <c r="B38" s="7" t="s">
        <v>2</v>
      </c>
      <c r="C38" s="6" t="s">
        <v>3</v>
      </c>
      <c r="D38" s="6" t="s">
        <v>4</v>
      </c>
      <c r="E38" s="6" t="s">
        <v>5</v>
      </c>
      <c r="F38" s="6" t="s">
        <v>6</v>
      </c>
      <c r="G38" s="6" t="s">
        <v>7</v>
      </c>
      <c r="H38" s="6" t="s">
        <v>8</v>
      </c>
      <c r="I38" s="6" t="s">
        <v>9</v>
      </c>
      <c r="J38" s="6" t="s">
        <v>10</v>
      </c>
      <c r="K38" s="6" t="s">
        <v>11</v>
      </c>
      <c r="L38" s="6" t="s">
        <v>12</v>
      </c>
      <c r="M38" s="8" t="s">
        <v>13</v>
      </c>
      <c r="N38" s="29" t="s">
        <v>63</v>
      </c>
      <c r="O38" s="6" t="s">
        <v>47</v>
      </c>
      <c r="P38" s="18" t="s">
        <v>16</v>
      </c>
    </row>
    <row r="39" spans="1:16" ht="13" thickBot="1">
      <c r="A39" s="40" t="s">
        <v>31</v>
      </c>
      <c r="B39" s="41">
        <v>67709.34</v>
      </c>
      <c r="C39" s="42">
        <v>84361.3</v>
      </c>
      <c r="D39" s="42">
        <v>92003.55</v>
      </c>
      <c r="E39" s="42">
        <v>132709.35999999999</v>
      </c>
      <c r="F39" s="42">
        <v>144736.67000000001</v>
      </c>
      <c r="G39" s="42">
        <v>115263.23</v>
      </c>
      <c r="H39" s="42">
        <v>72092.210000000006</v>
      </c>
      <c r="I39" s="42">
        <v>116729.34</v>
      </c>
      <c r="J39" s="42">
        <v>101409.17</v>
      </c>
      <c r="K39" s="42">
        <v>113995.12</v>
      </c>
      <c r="L39" s="42">
        <v>110657.1</v>
      </c>
      <c r="M39" s="43">
        <v>97805.53</v>
      </c>
      <c r="N39" s="46">
        <f>SUM(B39:M39)</f>
        <v>1249471.92</v>
      </c>
      <c r="O39" s="44">
        <f>SUM('TRT 2003'!B39:M39)</f>
        <v>1256703.43</v>
      </c>
      <c r="P39" s="45">
        <f>N39/O39-1</f>
        <v>-5.7543488999628467E-3</v>
      </c>
    </row>
    <row r="40" spans="1:16">
      <c r="B40" s="28">
        <f>B39/'TRT 2003'!B39-1</f>
        <v>-7.0813077359579313E-2</v>
      </c>
      <c r="C40" s="28">
        <f>C39/'TRT 2003'!C39-1</f>
        <v>-0.10884202904965423</v>
      </c>
      <c r="D40" s="28">
        <f>D39/'TRT 2003'!D39-1</f>
        <v>-0.117027025704175</v>
      </c>
      <c r="E40" s="28">
        <f>E39/'TRT 2003'!E39-1</f>
        <v>0.21790388837261876</v>
      </c>
      <c r="F40" s="28">
        <f>F39/'TRT 2003'!F39-1</f>
        <v>-9.2661889355363791E-2</v>
      </c>
      <c r="G40" s="28">
        <f>G39/'TRT 2003'!G39-1</f>
        <v>0.10420316385672423</v>
      </c>
      <c r="H40" s="28">
        <f>H39/'TRT 2003'!H39-1</f>
        <v>-0.23368117266890587</v>
      </c>
      <c r="I40" s="28">
        <f>I39/'TRT 2003'!I39-1</f>
        <v>0.15935183989670754</v>
      </c>
      <c r="J40" s="28">
        <f>J39/'TRT 2003'!J39-1</f>
        <v>9.509594721553305E-2</v>
      </c>
      <c r="K40" s="28">
        <f>K39/'TRT 2003'!K39-1</f>
        <v>0.16627400427652095</v>
      </c>
      <c r="L40" s="28">
        <f>L39/'TRT 2003'!L39-1</f>
        <v>-2.9255561793810059E-2</v>
      </c>
      <c r="M40" s="28">
        <f>M39/'TRT 2003'!M39-1</f>
        <v>-0.13449137385354248</v>
      </c>
      <c r="N40" s="28">
        <f>N39/'TRT 2003'!N39-1</f>
        <v>-5.7543488999628467E-3</v>
      </c>
    </row>
  </sheetData>
  <mergeCells count="2">
    <mergeCell ref="A1:P1"/>
    <mergeCell ref="A36:P36"/>
  </mergeCells>
  <phoneticPr fontId="0" type="noConversion"/>
  <pageMargins left="0.75" right="0.75" top="1" bottom="1" header="0.5" footer="0.5"/>
  <pageSetup scale="8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 enableFormatConditionsCalculation="0">
    <tabColor rgb="FF0070C0"/>
    <pageSetUpPr fitToPage="1"/>
  </sheetPr>
  <dimension ref="A1:P44"/>
  <sheetViews>
    <sheetView workbookViewId="0">
      <selection activeCell="B30" sqref="B30:M30"/>
    </sheetView>
  </sheetViews>
  <sheetFormatPr baseColWidth="10" defaultColWidth="8.83203125" defaultRowHeight="12" x14ac:dyDescent="0"/>
  <cols>
    <col min="1" max="1" width="11.33203125" bestFit="1" customWidth="1"/>
    <col min="2" max="2" width="7.5" bestFit="1" customWidth="1"/>
    <col min="3" max="4" width="8.6640625" bestFit="1" customWidth="1"/>
    <col min="5" max="5" width="10.1640625" bestFit="1" customWidth="1"/>
    <col min="6" max="13" width="8.6640625" bestFit="1" customWidth="1"/>
    <col min="14" max="15" width="9.5" bestFit="1" customWidth="1"/>
    <col min="16" max="16" width="10.1640625" bestFit="1" customWidth="1"/>
  </cols>
  <sheetData>
    <row r="1" spans="1:16" ht="21">
      <c r="A1" s="691" t="s">
        <v>55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16" ht="13" thickBot="1">
      <c r="A2" s="47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3" thickBot="1">
      <c r="A3" s="5" t="s">
        <v>42</v>
      </c>
      <c r="B3" s="7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8" t="s">
        <v>13</v>
      </c>
      <c r="N3" s="52" t="s">
        <v>69</v>
      </c>
      <c r="O3" s="6" t="s">
        <v>68</v>
      </c>
      <c r="P3" s="18" t="s">
        <v>16</v>
      </c>
    </row>
    <row r="4" spans="1:16">
      <c r="A4" s="49" t="s">
        <v>17</v>
      </c>
      <c r="B4" s="50">
        <v>2392.6999999999998</v>
      </c>
      <c r="C4" s="19">
        <v>20175.419999999998</v>
      </c>
      <c r="D4" s="19">
        <v>2370.6999999999998</v>
      </c>
      <c r="E4" s="19">
        <v>1072.46</v>
      </c>
      <c r="F4" s="19">
        <v>13714.25</v>
      </c>
      <c r="G4" s="19">
        <v>1235.48</v>
      </c>
      <c r="H4" s="19">
        <v>0</v>
      </c>
      <c r="I4" s="19">
        <v>21994</v>
      </c>
      <c r="J4" s="19">
        <v>0</v>
      </c>
      <c r="K4" s="19">
        <v>4524</v>
      </c>
      <c r="L4" s="19">
        <v>27891</v>
      </c>
      <c r="M4" s="51">
        <v>1696.26</v>
      </c>
      <c r="N4" s="81">
        <v>97162</v>
      </c>
      <c r="O4" s="19">
        <f>SUM('TRT 2002'!N23)</f>
        <v>45238</v>
      </c>
      <c r="P4" s="77">
        <f t="shared" ref="P4:P32" si="0">N4/O4-1</f>
        <v>1.1477961006233697</v>
      </c>
    </row>
    <row r="5" spans="1:16">
      <c r="A5" s="49" t="s">
        <v>18</v>
      </c>
      <c r="B5" s="50">
        <v>2294.6999999999998</v>
      </c>
      <c r="C5" s="19">
        <v>10679.46</v>
      </c>
      <c r="D5" s="19">
        <v>1063.3499999999999</v>
      </c>
      <c r="E5" s="19">
        <v>2396.91</v>
      </c>
      <c r="F5" s="19">
        <v>7114.13</v>
      </c>
      <c r="G5" s="19">
        <v>3473.36</v>
      </c>
      <c r="H5" s="19">
        <v>5619.83</v>
      </c>
      <c r="I5" s="19">
        <v>18401</v>
      </c>
      <c r="J5" s="19">
        <v>7871</v>
      </c>
      <c r="K5" s="19">
        <v>2512</v>
      </c>
      <c r="L5" s="19">
        <v>13294</v>
      </c>
      <c r="M5" s="51">
        <v>5700.11</v>
      </c>
      <c r="N5" s="81">
        <v>81918</v>
      </c>
      <c r="O5" s="19">
        <f>SUM('TRT 2002'!N24)</f>
        <v>202270</v>
      </c>
      <c r="P5" s="77">
        <f t="shared" si="0"/>
        <v>-0.59500667424729325</v>
      </c>
    </row>
    <row r="6" spans="1:16">
      <c r="A6" s="49" t="s">
        <v>19</v>
      </c>
      <c r="B6" s="50">
        <v>7014.28</v>
      </c>
      <c r="C6" s="19">
        <v>20726.009999999998</v>
      </c>
      <c r="D6" s="19">
        <v>7509.72</v>
      </c>
      <c r="E6" s="19">
        <v>10962.96</v>
      </c>
      <c r="F6" s="19">
        <v>26297.439999999999</v>
      </c>
      <c r="G6" s="19">
        <v>14401.38</v>
      </c>
      <c r="H6" s="19">
        <v>14417.53</v>
      </c>
      <c r="I6" s="19">
        <v>37641</v>
      </c>
      <c r="J6" s="19">
        <v>17131</v>
      </c>
      <c r="K6" s="19">
        <v>16534</v>
      </c>
      <c r="L6" s="19">
        <v>42223</v>
      </c>
      <c r="M6" s="51">
        <v>11037.79</v>
      </c>
      <c r="N6" s="81">
        <v>227977</v>
      </c>
      <c r="O6" s="19">
        <f>SUM('TRT 2002'!N14)</f>
        <v>409594</v>
      </c>
      <c r="P6" s="77">
        <f t="shared" si="0"/>
        <v>-0.44340737413145703</v>
      </c>
    </row>
    <row r="7" spans="1:16">
      <c r="A7" s="49" t="s">
        <v>20</v>
      </c>
      <c r="B7" s="50">
        <v>8513.27</v>
      </c>
      <c r="C7" s="19">
        <v>14940.14</v>
      </c>
      <c r="D7" s="19">
        <v>5419.77</v>
      </c>
      <c r="E7" s="19">
        <v>6019.64</v>
      </c>
      <c r="F7" s="19">
        <v>10097.89</v>
      </c>
      <c r="G7" s="19">
        <v>7500.77</v>
      </c>
      <c r="H7" s="19">
        <v>10222.59</v>
      </c>
      <c r="I7" s="19">
        <v>16504</v>
      </c>
      <c r="J7" s="19">
        <v>10123</v>
      </c>
      <c r="K7" s="19">
        <v>13204</v>
      </c>
      <c r="L7" s="19">
        <v>26399</v>
      </c>
      <c r="M7" s="51">
        <v>8361.5499999999993</v>
      </c>
      <c r="N7" s="81">
        <v>130873</v>
      </c>
      <c r="O7" s="19">
        <f>SUM('TRT 2002'!N20)</f>
        <v>69190</v>
      </c>
      <c r="P7" s="77">
        <f t="shared" si="0"/>
        <v>0.89150166208989745</v>
      </c>
    </row>
    <row r="8" spans="1:16">
      <c r="A8" s="49" t="s">
        <v>21</v>
      </c>
      <c r="B8" s="50">
        <v>536.67999999999995</v>
      </c>
      <c r="C8" s="19">
        <v>2154.96</v>
      </c>
      <c r="D8" s="19">
        <v>705.52</v>
      </c>
      <c r="E8" s="19">
        <v>0</v>
      </c>
      <c r="F8" s="19">
        <v>5954.15</v>
      </c>
      <c r="G8" s="19">
        <v>3416.32</v>
      </c>
      <c r="H8" s="19">
        <v>3473.24</v>
      </c>
      <c r="I8" s="19">
        <v>12184</v>
      </c>
      <c r="J8" s="19">
        <v>6147</v>
      </c>
      <c r="K8" s="19">
        <v>5367</v>
      </c>
      <c r="L8" s="19">
        <v>12289</v>
      </c>
      <c r="M8" s="51">
        <v>237.92</v>
      </c>
      <c r="N8" s="81">
        <v>52633</v>
      </c>
      <c r="O8" s="19">
        <f>SUM('TRT 2002'!N28)</f>
        <v>1060436</v>
      </c>
      <c r="P8" s="77">
        <f t="shared" si="0"/>
        <v>-0.95036664164551188</v>
      </c>
    </row>
    <row r="9" spans="1:16">
      <c r="A9" s="49" t="s">
        <v>22</v>
      </c>
      <c r="B9" s="50">
        <v>22466.81</v>
      </c>
      <c r="C9" s="19">
        <v>29721.26</v>
      </c>
      <c r="D9" s="19">
        <v>19060.580000000002</v>
      </c>
      <c r="E9" s="19">
        <v>32336.07</v>
      </c>
      <c r="F9" s="19">
        <v>38121.449999999997</v>
      </c>
      <c r="G9" s="19">
        <v>38108.49</v>
      </c>
      <c r="H9" s="19">
        <v>33713.14</v>
      </c>
      <c r="I9" s="19">
        <v>58706</v>
      </c>
      <c r="J9" s="19">
        <v>53207</v>
      </c>
      <c r="K9" s="19">
        <v>52018</v>
      </c>
      <c r="L9" s="19">
        <v>40645</v>
      </c>
      <c r="M9" s="51">
        <v>44806.95</v>
      </c>
      <c r="N9" s="81">
        <v>475000</v>
      </c>
      <c r="O9" s="19">
        <f>SUM('TRT 2002'!N10)</f>
        <v>25992</v>
      </c>
      <c r="P9" s="77">
        <f t="shared" si="0"/>
        <v>17.274853801169591</v>
      </c>
    </row>
    <row r="10" spans="1:16">
      <c r="A10" s="49" t="s">
        <v>23</v>
      </c>
      <c r="B10" s="50">
        <v>1213.73</v>
      </c>
      <c r="C10" s="19">
        <v>2547.16</v>
      </c>
      <c r="D10" s="19">
        <v>563.71</v>
      </c>
      <c r="E10" s="19">
        <v>1403.03</v>
      </c>
      <c r="F10" s="19">
        <v>2149.0300000000002</v>
      </c>
      <c r="G10" s="19">
        <v>597.49</v>
      </c>
      <c r="H10" s="19">
        <v>2246.67</v>
      </c>
      <c r="I10" s="19">
        <v>4400</v>
      </c>
      <c r="J10" s="19">
        <v>2603</v>
      </c>
      <c r="K10" s="19">
        <v>2433</v>
      </c>
      <c r="L10" s="19">
        <v>7923</v>
      </c>
      <c r="M10" s="51">
        <v>1014</v>
      </c>
      <c r="N10" s="81">
        <v>29800</v>
      </c>
      <c r="O10" s="19">
        <f>SUM('TRT 2002'!N30)</f>
        <v>1296178</v>
      </c>
      <c r="P10" s="77">
        <f t="shared" si="0"/>
        <v>-0.97700933050861838</v>
      </c>
    </row>
    <row r="11" spans="1:16">
      <c r="A11" s="49" t="s">
        <v>51</v>
      </c>
      <c r="B11" s="50">
        <v>0</v>
      </c>
      <c r="C11" s="19">
        <v>610.09</v>
      </c>
      <c r="D11" s="19">
        <v>151.99</v>
      </c>
      <c r="E11" s="19">
        <v>746.69</v>
      </c>
      <c r="F11" s="19">
        <v>3499.53</v>
      </c>
      <c r="G11" s="19">
        <v>9318.9599999999991</v>
      </c>
      <c r="H11" s="19">
        <v>14175.74</v>
      </c>
      <c r="I11" s="19">
        <v>31175</v>
      </c>
      <c r="J11" s="19">
        <v>15942</v>
      </c>
      <c r="K11" s="19">
        <v>8449</v>
      </c>
      <c r="L11" s="19">
        <v>24824</v>
      </c>
      <c r="M11" s="51">
        <v>9972.67</v>
      </c>
      <c r="N11" s="81">
        <v>132162</v>
      </c>
      <c r="O11" s="19">
        <f>SUM('TRT 2002'!N19)</f>
        <v>6099</v>
      </c>
      <c r="P11" s="77">
        <f t="shared" si="0"/>
        <v>20.669454008853911</v>
      </c>
    </row>
    <row r="12" spans="1:16">
      <c r="A12" s="49" t="s">
        <v>24</v>
      </c>
      <c r="B12" s="50">
        <v>11103.36</v>
      </c>
      <c r="C12" s="19">
        <v>17909.2</v>
      </c>
      <c r="D12" s="19">
        <v>2803.51</v>
      </c>
      <c r="E12" s="19">
        <v>3177.15</v>
      </c>
      <c r="F12" s="19">
        <v>22185.31</v>
      </c>
      <c r="G12" s="19">
        <v>18021.05</v>
      </c>
      <c r="H12" s="19">
        <v>41868.050000000003</v>
      </c>
      <c r="I12" s="19">
        <v>106737</v>
      </c>
      <c r="J12" s="19">
        <v>47607</v>
      </c>
      <c r="K12" s="19">
        <v>53267</v>
      </c>
      <c r="L12" s="19">
        <v>90989</v>
      </c>
      <c r="M12" s="51">
        <v>40006.15</v>
      </c>
      <c r="N12" s="81">
        <v>460292</v>
      </c>
      <c r="O12" s="19">
        <f>SUM('TRT 2002'!N11)</f>
        <v>23026</v>
      </c>
      <c r="P12" s="77">
        <f t="shared" si="0"/>
        <v>18.990098149917486</v>
      </c>
    </row>
    <row r="13" spans="1:16">
      <c r="A13" s="49" t="s">
        <v>25</v>
      </c>
      <c r="B13" s="50">
        <v>0</v>
      </c>
      <c r="C13" s="19">
        <v>0</v>
      </c>
      <c r="D13" s="19">
        <v>0</v>
      </c>
      <c r="E13" s="19">
        <v>0</v>
      </c>
      <c r="F13" s="19">
        <v>0</v>
      </c>
      <c r="G13" s="19">
        <v>41.51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51">
        <v>0</v>
      </c>
      <c r="N13" s="81">
        <v>754440</v>
      </c>
      <c r="O13" s="19">
        <f>SUM('TRT 2002'!N8)</f>
        <v>59795</v>
      </c>
      <c r="P13" s="77">
        <f t="shared" si="0"/>
        <v>11.617108453884104</v>
      </c>
    </row>
    <row r="14" spans="1:16">
      <c r="A14" s="49" t="s">
        <v>26</v>
      </c>
      <c r="B14" s="50">
        <v>32200.47</v>
      </c>
      <c r="C14" s="19">
        <v>47254.720000000001</v>
      </c>
      <c r="D14" s="19">
        <v>16028.89</v>
      </c>
      <c r="E14" s="19">
        <v>18483.88</v>
      </c>
      <c r="F14" s="19">
        <v>62420.15</v>
      </c>
      <c r="G14" s="19">
        <v>15018.24</v>
      </c>
      <c r="H14" s="19">
        <v>16201.68</v>
      </c>
      <c r="I14" s="19">
        <v>63484</v>
      </c>
      <c r="J14" s="19">
        <v>42409</v>
      </c>
      <c r="K14" s="19">
        <v>30812</v>
      </c>
      <c r="L14" s="19">
        <v>73702</v>
      </c>
      <c r="M14" s="51">
        <v>26556.91</v>
      </c>
      <c r="N14" s="81">
        <v>450920</v>
      </c>
      <c r="O14" s="19">
        <f>SUM('TRT 2002'!N12)</f>
        <v>437713</v>
      </c>
      <c r="P14" s="77">
        <f t="shared" si="0"/>
        <v>3.0172738758044604E-2</v>
      </c>
    </row>
    <row r="15" spans="1:16">
      <c r="A15" s="49" t="s">
        <v>27</v>
      </c>
      <c r="B15" s="50">
        <v>3.22</v>
      </c>
      <c r="C15" s="19">
        <v>13091.27</v>
      </c>
      <c r="D15" s="19">
        <v>0</v>
      </c>
      <c r="E15" s="19">
        <v>0</v>
      </c>
      <c r="F15" s="19">
        <v>6690.82</v>
      </c>
      <c r="G15" s="19">
        <v>3015.93</v>
      </c>
      <c r="H15" s="19">
        <v>309.10000000000002</v>
      </c>
      <c r="I15" s="19">
        <v>15110</v>
      </c>
      <c r="J15" s="19">
        <v>382</v>
      </c>
      <c r="K15" s="19">
        <v>108</v>
      </c>
      <c r="L15" s="19">
        <v>18987</v>
      </c>
      <c r="M15" s="51">
        <v>53.47</v>
      </c>
      <c r="N15" s="81">
        <v>53643</v>
      </c>
      <c r="O15" s="19">
        <f>SUM('TRT 2002'!N27)</f>
        <v>162547</v>
      </c>
      <c r="P15" s="77">
        <f t="shared" si="0"/>
        <v>-0.66998468135370071</v>
      </c>
    </row>
    <row r="16" spans="1:16">
      <c r="A16" s="49" t="s">
        <v>28</v>
      </c>
      <c r="B16" s="50">
        <v>12099.78</v>
      </c>
      <c r="C16" s="19">
        <v>9769.4</v>
      </c>
      <c r="D16" s="19">
        <v>2894.16</v>
      </c>
      <c r="E16" s="19">
        <v>6250.41</v>
      </c>
      <c r="F16" s="19">
        <v>15286.65</v>
      </c>
      <c r="G16" s="19">
        <v>14517.5</v>
      </c>
      <c r="H16" s="19">
        <v>25352.06</v>
      </c>
      <c r="I16" s="19">
        <v>46560</v>
      </c>
      <c r="J16" s="19">
        <v>26186</v>
      </c>
      <c r="K16" s="19">
        <v>32103</v>
      </c>
      <c r="L16" s="19">
        <v>51821</v>
      </c>
      <c r="M16" s="51">
        <v>17372.28</v>
      </c>
      <c r="N16" s="81">
        <v>269557</v>
      </c>
      <c r="O16" s="19">
        <f>SUM('TRT 2002'!N13)</f>
        <v>836160</v>
      </c>
      <c r="P16" s="77">
        <f t="shared" si="0"/>
        <v>-0.6776250956754688</v>
      </c>
    </row>
    <row r="17" spans="1:16">
      <c r="A17" s="49" t="s">
        <v>52</v>
      </c>
      <c r="B17" s="50">
        <v>1972.92</v>
      </c>
      <c r="C17" s="19">
        <v>13728.32</v>
      </c>
      <c r="D17" s="19">
        <v>1596.18</v>
      </c>
      <c r="E17" s="19">
        <v>1404.01</v>
      </c>
      <c r="F17" s="19">
        <v>12614.49</v>
      </c>
      <c r="G17" s="19">
        <v>1941.81</v>
      </c>
      <c r="H17" s="19">
        <v>2744.01</v>
      </c>
      <c r="I17" s="19">
        <v>17879</v>
      </c>
      <c r="J17" s="19">
        <v>2525</v>
      </c>
      <c r="K17" s="19">
        <v>2471</v>
      </c>
      <c r="L17" s="19">
        <v>19589</v>
      </c>
      <c r="M17" s="51">
        <v>2085.19</v>
      </c>
      <c r="N17" s="81">
        <v>80125</v>
      </c>
      <c r="O17" s="19">
        <f>SUM('TRT 2002'!N25)</f>
        <v>3423351</v>
      </c>
      <c r="P17" s="77">
        <f t="shared" si="0"/>
        <v>-0.97659457064145627</v>
      </c>
    </row>
    <row r="18" spans="1:16">
      <c r="A18" s="49" t="s">
        <v>29</v>
      </c>
      <c r="B18" s="50">
        <v>12.78</v>
      </c>
      <c r="C18" s="19">
        <v>43.58</v>
      </c>
      <c r="D18" s="19">
        <v>0</v>
      </c>
      <c r="E18" s="19">
        <v>1.64</v>
      </c>
      <c r="F18" s="19">
        <v>45.47</v>
      </c>
      <c r="G18" s="19">
        <v>3.03</v>
      </c>
      <c r="H18" s="19">
        <v>93.45</v>
      </c>
      <c r="I18" s="19">
        <v>403</v>
      </c>
      <c r="J18" s="19">
        <v>194</v>
      </c>
      <c r="K18" s="19">
        <v>195</v>
      </c>
      <c r="L18" s="19">
        <v>291</v>
      </c>
      <c r="M18" s="51">
        <v>25.05</v>
      </c>
      <c r="N18" s="81">
        <v>1301</v>
      </c>
      <c r="O18" s="19">
        <f>SUM('TRT 2002'!N32)</f>
        <v>586481</v>
      </c>
      <c r="P18" s="77">
        <f>N18/O18-1</f>
        <v>-0.99778168431713898</v>
      </c>
    </row>
    <row r="19" spans="1:16">
      <c r="A19" s="49" t="s">
        <v>53</v>
      </c>
      <c r="B19" s="50">
        <v>20.78</v>
      </c>
      <c r="C19" s="19">
        <v>796.13</v>
      </c>
      <c r="D19" s="19">
        <v>0</v>
      </c>
      <c r="E19" s="19">
        <v>412.53</v>
      </c>
      <c r="F19" s="19">
        <v>243.23</v>
      </c>
      <c r="G19" s="19">
        <v>72.34</v>
      </c>
      <c r="H19" s="19">
        <v>375.61</v>
      </c>
      <c r="I19" s="19">
        <v>2041</v>
      </c>
      <c r="J19" s="19">
        <v>390</v>
      </c>
      <c r="K19" s="19">
        <v>0</v>
      </c>
      <c r="L19" s="19">
        <v>2390</v>
      </c>
      <c r="M19" s="51">
        <v>201.49</v>
      </c>
      <c r="N19" s="81">
        <v>7667</v>
      </c>
      <c r="O19" s="19">
        <f>SUM('TRT 2002'!N31)</f>
        <v>86763</v>
      </c>
      <c r="P19" s="77">
        <f t="shared" si="0"/>
        <v>-0.911632838882934</v>
      </c>
    </row>
    <row r="20" spans="1:16">
      <c r="A20" s="49" t="s">
        <v>30</v>
      </c>
      <c r="B20" s="50">
        <v>359.36</v>
      </c>
      <c r="C20" s="19">
        <v>1109.19</v>
      </c>
      <c r="D20" s="19">
        <v>0</v>
      </c>
      <c r="E20" s="19">
        <v>793.81</v>
      </c>
      <c r="F20" s="19">
        <v>977.53</v>
      </c>
      <c r="G20" s="19">
        <v>6.91</v>
      </c>
      <c r="H20" s="19">
        <v>258.37</v>
      </c>
      <c r="I20" s="19">
        <v>8405</v>
      </c>
      <c r="J20" s="19">
        <v>5331</v>
      </c>
      <c r="K20" s="19">
        <v>4786</v>
      </c>
      <c r="L20" s="19">
        <v>29999</v>
      </c>
      <c r="M20" s="51">
        <v>1525.31</v>
      </c>
      <c r="N20" s="81">
        <v>54743</v>
      </c>
      <c r="O20" s="19">
        <f>SUM('TRT 2002'!N26)</f>
        <v>128295</v>
      </c>
      <c r="P20" s="77">
        <f t="shared" si="0"/>
        <v>-0.57330371409641834</v>
      </c>
    </row>
    <row r="21" spans="1:16">
      <c r="A21" s="49" t="s">
        <v>31</v>
      </c>
      <c r="B21" s="50">
        <v>437242.13</v>
      </c>
      <c r="C21" s="19">
        <v>568021.93999999994</v>
      </c>
      <c r="D21" s="19">
        <v>625221.22</v>
      </c>
      <c r="E21" s="19">
        <v>653830.35</v>
      </c>
      <c r="F21" s="19">
        <v>957163.18</v>
      </c>
      <c r="G21" s="19">
        <v>626351.85</v>
      </c>
      <c r="H21" s="19">
        <v>564489.14</v>
      </c>
      <c r="I21" s="19">
        <v>604146</v>
      </c>
      <c r="J21" s="19">
        <v>555651</v>
      </c>
      <c r="K21" s="19">
        <v>586792</v>
      </c>
      <c r="L21" s="19">
        <v>683994</v>
      </c>
      <c r="M21" s="51">
        <v>678060.72</v>
      </c>
      <c r="N21" s="81">
        <v>7589382</v>
      </c>
      <c r="O21" s="19">
        <f>SUM('TRT 2002'!N4)</f>
        <v>104583</v>
      </c>
      <c r="P21" s="77">
        <f>N21/O21-1</f>
        <v>71.56802730845358</v>
      </c>
    </row>
    <row r="22" spans="1:16">
      <c r="A22" s="49" t="s">
        <v>45</v>
      </c>
      <c r="B22" s="50">
        <v>4652.66</v>
      </c>
      <c r="C22" s="19">
        <v>15785.71</v>
      </c>
      <c r="D22" s="19">
        <v>1879.32</v>
      </c>
      <c r="E22" s="19">
        <v>6289.68</v>
      </c>
      <c r="F22" s="19">
        <v>22221.99</v>
      </c>
      <c r="G22" s="19">
        <v>9439.09</v>
      </c>
      <c r="H22" s="19">
        <v>15485.93</v>
      </c>
      <c r="I22" s="19">
        <v>49771</v>
      </c>
      <c r="J22" s="19">
        <v>22572</v>
      </c>
      <c r="K22" s="19">
        <v>6871</v>
      </c>
      <c r="L22" s="19">
        <v>50260</v>
      </c>
      <c r="M22" s="51">
        <v>13591.56</v>
      </c>
      <c r="N22" s="81">
        <v>218363</v>
      </c>
      <c r="O22" s="19">
        <f>SUM('TRT 2002'!N15)</f>
        <v>74783</v>
      </c>
      <c r="P22" s="77">
        <f t="shared" si="0"/>
        <v>1.9199550700025405</v>
      </c>
    </row>
    <row r="23" spans="1:16">
      <c r="A23" s="49" t="s">
        <v>32</v>
      </c>
      <c r="B23" s="50">
        <v>1548.86</v>
      </c>
      <c r="C23" s="19">
        <v>6566.45</v>
      </c>
      <c r="D23" s="19">
        <v>675.39</v>
      </c>
      <c r="E23" s="19">
        <v>749.76</v>
      </c>
      <c r="F23" s="19">
        <v>4728.7700000000004</v>
      </c>
      <c r="G23" s="19">
        <v>1622.4</v>
      </c>
      <c r="H23" s="19">
        <v>2407.84</v>
      </c>
      <c r="I23" s="19">
        <v>9790</v>
      </c>
      <c r="J23" s="19">
        <v>2278</v>
      </c>
      <c r="K23" s="19">
        <v>1308</v>
      </c>
      <c r="L23" s="19">
        <v>5943</v>
      </c>
      <c r="M23" s="51">
        <v>1580.91</v>
      </c>
      <c r="N23" s="81">
        <v>38667</v>
      </c>
      <c r="O23" s="19">
        <f>SUM('TRT 2002'!N29)</f>
        <v>249980</v>
      </c>
      <c r="P23" s="77">
        <f t="shared" si="0"/>
        <v>-0.84531962557004559</v>
      </c>
    </row>
    <row r="24" spans="1:16">
      <c r="A24" s="49" t="s">
        <v>33</v>
      </c>
      <c r="B24" s="50">
        <v>6837.5</v>
      </c>
      <c r="C24" s="19">
        <v>23810.799999999999</v>
      </c>
      <c r="D24" s="19">
        <v>1927.36</v>
      </c>
      <c r="E24" s="19">
        <v>2772.72</v>
      </c>
      <c r="F24" s="19">
        <v>21271.05</v>
      </c>
      <c r="G24" s="19">
        <v>3599.26</v>
      </c>
      <c r="H24" s="19">
        <v>7056</v>
      </c>
      <c r="I24" s="19">
        <v>51539</v>
      </c>
      <c r="J24" s="19">
        <v>1593</v>
      </c>
      <c r="K24" s="19">
        <v>6394</v>
      </c>
      <c r="L24" s="19">
        <v>55286</v>
      </c>
      <c r="M24" s="51">
        <v>14701.99</v>
      </c>
      <c r="N24" s="81">
        <v>204048</v>
      </c>
      <c r="O24" s="19">
        <f>SUM('TRT 2002'!N17)</f>
        <v>82729</v>
      </c>
      <c r="P24" s="77">
        <f t="shared" si="0"/>
        <v>1.4664627881395882</v>
      </c>
    </row>
    <row r="25" spans="1:16">
      <c r="A25" s="49" t="s">
        <v>34</v>
      </c>
      <c r="B25" s="50">
        <v>134558.76999999999</v>
      </c>
      <c r="C25" s="19">
        <v>500765.1</v>
      </c>
      <c r="D25" s="19">
        <v>643591.68000000005</v>
      </c>
      <c r="E25" s="19">
        <v>590907.9</v>
      </c>
      <c r="F25" s="19">
        <v>658916.57999999996</v>
      </c>
      <c r="G25" s="19">
        <v>71576.03</v>
      </c>
      <c r="H25" s="19">
        <v>37944.339999999997</v>
      </c>
      <c r="I25" s="19">
        <v>88977</v>
      </c>
      <c r="J25" s="19">
        <v>164761</v>
      </c>
      <c r="K25" s="19">
        <v>130651</v>
      </c>
      <c r="L25" s="19">
        <v>147561</v>
      </c>
      <c r="M25" s="51">
        <v>105735.08</v>
      </c>
      <c r="N25" s="81">
        <v>3281403</v>
      </c>
      <c r="O25" s="19">
        <f>SUM('TRT 2002'!N5)</f>
        <v>80886</v>
      </c>
      <c r="P25" s="77">
        <f t="shared" si="0"/>
        <v>39.568244195534454</v>
      </c>
    </row>
    <row r="26" spans="1:16">
      <c r="A26" s="49" t="s">
        <v>35</v>
      </c>
      <c r="B26" s="50">
        <v>2723.22</v>
      </c>
      <c r="C26" s="19">
        <v>16722.150000000001</v>
      </c>
      <c r="D26" s="19">
        <v>3820.77</v>
      </c>
      <c r="E26" s="19">
        <v>2694.25</v>
      </c>
      <c r="F26" s="19">
        <v>14885.11</v>
      </c>
      <c r="G26" s="19">
        <v>3000.63</v>
      </c>
      <c r="H26" s="19">
        <v>4540.42</v>
      </c>
      <c r="I26" s="19">
        <v>19818</v>
      </c>
      <c r="J26" s="19">
        <v>4215</v>
      </c>
      <c r="K26" s="19">
        <v>5263</v>
      </c>
      <c r="L26" s="19">
        <v>24264</v>
      </c>
      <c r="M26" s="51">
        <v>12851.61</v>
      </c>
      <c r="N26" s="81">
        <v>120013</v>
      </c>
      <c r="O26" s="19">
        <f>SUM('TRT 2002'!N21)</f>
        <v>8994658</v>
      </c>
      <c r="P26" s="77">
        <f t="shared" si="0"/>
        <v>-0.98665730259004847</v>
      </c>
    </row>
    <row r="27" spans="1:16">
      <c r="A27" s="49" t="s">
        <v>36</v>
      </c>
      <c r="B27" s="50">
        <v>5342.57</v>
      </c>
      <c r="C27" s="19">
        <v>15768.64</v>
      </c>
      <c r="D27" s="19">
        <v>5249.42</v>
      </c>
      <c r="E27" s="19">
        <v>4408.82</v>
      </c>
      <c r="F27" s="19">
        <v>13407.67</v>
      </c>
      <c r="G27" s="19">
        <v>7935.87</v>
      </c>
      <c r="H27" s="19">
        <v>8619.5</v>
      </c>
      <c r="I27" s="19">
        <v>31128</v>
      </c>
      <c r="J27" s="19">
        <v>14120</v>
      </c>
      <c r="K27" s="19">
        <v>12834</v>
      </c>
      <c r="L27" s="19">
        <v>35686</v>
      </c>
      <c r="M27" s="51">
        <v>4968.3</v>
      </c>
      <c r="N27" s="81">
        <v>163689</v>
      </c>
      <c r="O27" s="19">
        <f>SUM('TRT 2002'!N18)</f>
        <v>7839</v>
      </c>
      <c r="P27" s="77">
        <f t="shared" si="0"/>
        <v>19.881362418675852</v>
      </c>
    </row>
    <row r="28" spans="1:16">
      <c r="A28" s="49" t="s">
        <v>37</v>
      </c>
      <c r="B28" s="50">
        <v>45548.61</v>
      </c>
      <c r="C28" s="19">
        <v>71021.119999999995</v>
      </c>
      <c r="D28" s="19">
        <v>56601.84</v>
      </c>
      <c r="E28" s="19">
        <v>44355.7</v>
      </c>
      <c r="F28" s="19">
        <v>83103.509999999995</v>
      </c>
      <c r="G28" s="19">
        <v>68029.03</v>
      </c>
      <c r="H28" s="19">
        <v>53915.13</v>
      </c>
      <c r="I28" s="19">
        <v>104743</v>
      </c>
      <c r="J28" s="19">
        <v>99481</v>
      </c>
      <c r="K28" s="19">
        <v>86135</v>
      </c>
      <c r="L28" s="19">
        <v>101901</v>
      </c>
      <c r="M28" s="51">
        <v>79728.44</v>
      </c>
      <c r="N28" s="81">
        <v>927893</v>
      </c>
      <c r="O28" s="19">
        <f>SUM('TRT 2002'!N7)</f>
        <v>160321</v>
      </c>
      <c r="P28" s="77">
        <f t="shared" si="0"/>
        <v>4.787719637477311</v>
      </c>
    </row>
    <row r="29" spans="1:16">
      <c r="A29" s="49" t="s">
        <v>38</v>
      </c>
      <c r="B29" s="50">
        <v>7180</v>
      </c>
      <c r="C29" s="19">
        <v>19273.099999999999</v>
      </c>
      <c r="D29" s="19">
        <v>14203.75</v>
      </c>
      <c r="E29" s="19">
        <v>13002.27</v>
      </c>
      <c r="F29" s="19">
        <v>18753.95</v>
      </c>
      <c r="G29" s="19">
        <v>5955.33</v>
      </c>
      <c r="H29" s="19">
        <v>9972.7900000000009</v>
      </c>
      <c r="I29" s="19">
        <v>25687</v>
      </c>
      <c r="J29" s="19">
        <v>23594</v>
      </c>
      <c r="K29" s="19">
        <v>20988</v>
      </c>
      <c r="L29" s="19">
        <v>31526</v>
      </c>
      <c r="M29" s="51">
        <v>13112.6</v>
      </c>
      <c r="N29" s="81">
        <v>204701</v>
      </c>
      <c r="O29" s="19">
        <f>SUM('TRT 2002'!N16)</f>
        <v>251410</v>
      </c>
      <c r="P29" s="77">
        <f t="shared" si="0"/>
        <v>-0.18578815480688915</v>
      </c>
    </row>
    <row r="30" spans="1:16">
      <c r="A30" s="49" t="s">
        <v>39</v>
      </c>
      <c r="B30" s="50">
        <v>67757.100000000006</v>
      </c>
      <c r="C30" s="19">
        <v>105969.29</v>
      </c>
      <c r="D30" s="19">
        <v>61854.6</v>
      </c>
      <c r="E30" s="19">
        <v>57418.48</v>
      </c>
      <c r="F30" s="19">
        <v>164924.09</v>
      </c>
      <c r="G30" s="19">
        <v>80129.440000000002</v>
      </c>
      <c r="H30" s="19">
        <v>102393.98</v>
      </c>
      <c r="I30" s="19">
        <v>198992</v>
      </c>
      <c r="J30" s="19">
        <v>98947</v>
      </c>
      <c r="K30" s="19">
        <v>91636</v>
      </c>
      <c r="L30" s="19">
        <v>188093</v>
      </c>
      <c r="M30" s="51">
        <v>110631.57</v>
      </c>
      <c r="N30" s="81">
        <v>1371800</v>
      </c>
      <c r="O30" s="19">
        <f>SUM('TRT 2002'!N6)</f>
        <v>248004</v>
      </c>
      <c r="P30" s="77">
        <f t="shared" si="0"/>
        <v>4.5313623973806871</v>
      </c>
    </row>
    <row r="31" spans="1:16">
      <c r="A31" s="49" t="s">
        <v>40</v>
      </c>
      <c r="B31" s="50">
        <v>4294.6899999999996</v>
      </c>
      <c r="C31" s="19">
        <v>10793.92</v>
      </c>
      <c r="D31" s="19">
        <v>3398.28</v>
      </c>
      <c r="E31" s="19">
        <v>1415.75</v>
      </c>
      <c r="F31" s="19">
        <v>6158.39</v>
      </c>
      <c r="G31" s="19">
        <v>1774.97</v>
      </c>
      <c r="H31" s="19">
        <v>4055.77</v>
      </c>
      <c r="I31" s="19">
        <v>27762</v>
      </c>
      <c r="J31" s="19">
        <v>2062</v>
      </c>
      <c r="K31" s="19">
        <v>2592</v>
      </c>
      <c r="L31" s="19">
        <v>24978</v>
      </c>
      <c r="M31" s="51">
        <v>7138.21</v>
      </c>
      <c r="N31" s="81">
        <v>98641</v>
      </c>
      <c r="O31" s="19">
        <f>SUM('TRT 2002'!N22)</f>
        <v>221689</v>
      </c>
      <c r="P31" s="77">
        <f t="shared" si="0"/>
        <v>-0.55504783728556673</v>
      </c>
    </row>
    <row r="32" spans="1:16" ht="13" thickBot="1">
      <c r="A32" s="53" t="s">
        <v>41</v>
      </c>
      <c r="B32" s="54">
        <v>22887.22</v>
      </c>
      <c r="C32" s="20">
        <v>34879.199999999997</v>
      </c>
      <c r="D32" s="20">
        <v>38500.25</v>
      </c>
      <c r="E32" s="20">
        <v>27830.14</v>
      </c>
      <c r="F32" s="20">
        <v>48469.919999999998</v>
      </c>
      <c r="G32" s="20">
        <v>29482.97</v>
      </c>
      <c r="H32" s="20">
        <v>29392.080000000002</v>
      </c>
      <c r="I32" s="20">
        <v>66037</v>
      </c>
      <c r="J32" s="20">
        <v>46065</v>
      </c>
      <c r="K32" s="20">
        <v>48290</v>
      </c>
      <c r="L32" s="20">
        <v>79411</v>
      </c>
      <c r="M32" s="55">
        <v>43371.73</v>
      </c>
      <c r="N32" s="82">
        <v>528143</v>
      </c>
      <c r="O32" s="20">
        <f>SUM('TRT 2002'!N9)</f>
        <v>665549</v>
      </c>
      <c r="P32" s="78">
        <f t="shared" si="0"/>
        <v>-0.20645512201205318</v>
      </c>
    </row>
    <row r="33" spans="1:16" ht="14" thickTop="1" thickBot="1">
      <c r="A33" s="56" t="s">
        <v>54</v>
      </c>
      <c r="B33" s="57">
        <f>SUM(B4:B32)</f>
        <v>842778.16999999981</v>
      </c>
      <c r="C33" s="58">
        <f>SUM(C4:C32)</f>
        <v>1594633.7299999997</v>
      </c>
      <c r="D33" s="58">
        <f t="shared" ref="D33:L33" si="1">SUM(D4:D32)</f>
        <v>1517091.96</v>
      </c>
      <c r="E33" s="58">
        <f t="shared" si="1"/>
        <v>1491137.01</v>
      </c>
      <c r="F33" s="58">
        <f t="shared" si="1"/>
        <v>2241415.73</v>
      </c>
      <c r="G33" s="58">
        <f t="shared" si="1"/>
        <v>1039587.44</v>
      </c>
      <c r="H33" s="58">
        <f t="shared" si="1"/>
        <v>1011343.99</v>
      </c>
      <c r="I33" s="58">
        <f t="shared" si="1"/>
        <v>1740014</v>
      </c>
      <c r="J33" s="58">
        <f t="shared" si="1"/>
        <v>1273387</v>
      </c>
      <c r="K33" s="58">
        <f t="shared" si="1"/>
        <v>1228537</v>
      </c>
      <c r="L33" s="58">
        <f t="shared" si="1"/>
        <v>1912159</v>
      </c>
      <c r="M33" s="59">
        <f>SUM(M4:M32)</f>
        <v>1256125.82</v>
      </c>
      <c r="N33" s="83">
        <v>18106956</v>
      </c>
      <c r="O33" s="80">
        <f>SUM('TRT 2002'!N33)</f>
        <v>20001559</v>
      </c>
      <c r="P33" s="89">
        <f>N33/O33-1</f>
        <v>-9.4722766360362254E-2</v>
      </c>
    </row>
    <row r="34" spans="1:16">
      <c r="B34" s="28">
        <f>B33/'TRT 2002'!B33-1</f>
        <v>0.20450192683853241</v>
      </c>
      <c r="C34" s="28">
        <f>C33/'TRT 2002'!C33-1</f>
        <v>0.16634224421121813</v>
      </c>
      <c r="D34" s="28">
        <f>D33/'TRT 2002'!D33-1</f>
        <v>3.6003713353086608E-2</v>
      </c>
      <c r="E34" s="28">
        <f>E33/'TRT 2002'!E33-1</f>
        <v>-0.5690952888147407</v>
      </c>
      <c r="F34" s="28">
        <f>F33/'TRT 2002'!F33-1</f>
        <v>0.10554557279998567</v>
      </c>
      <c r="G34" s="28">
        <f>G33/'TRT 2002'!G33-1</f>
        <v>-0.31876873523287597</v>
      </c>
      <c r="H34" s="28">
        <f>H33/'TRT 2002'!H33-1</f>
        <v>4.0086924528526247E-3</v>
      </c>
      <c r="I34" s="28">
        <f>I33/'TRT 2002'!I33-1</f>
        <v>-0.10001234111078472</v>
      </c>
      <c r="J34" s="28">
        <f>J33/'TRT 2002'!J33-1</f>
        <v>0.17172427649497024</v>
      </c>
      <c r="K34" s="28">
        <f>K33/'TRT 2002'!K33-1</f>
        <v>-6.7190340437557783E-2</v>
      </c>
      <c r="L34" s="28">
        <f>L33/'TRT 2002'!L33-1</f>
        <v>5.3261326287366018E-2</v>
      </c>
      <c r="M34" s="28">
        <f>M33/'TRT 2002'!M33-1</f>
        <v>0.2111469354644735</v>
      </c>
      <c r="N34" s="28">
        <f>N33/'TRT 2002'!N33-1</f>
        <v>-9.4722766360362254E-2</v>
      </c>
    </row>
    <row r="36" spans="1:16" ht="21">
      <c r="A36" s="691" t="s">
        <v>49</v>
      </c>
      <c r="B36" s="691"/>
      <c r="C36" s="691"/>
      <c r="D36" s="691"/>
      <c r="E36" s="691"/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</row>
    <row r="37" spans="1:16" ht="13" thickBot="1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6" ht="13" thickBot="1">
      <c r="A38" s="5" t="s">
        <v>42</v>
      </c>
      <c r="B38" s="7" t="s">
        <v>2</v>
      </c>
      <c r="C38" s="6" t="s">
        <v>3</v>
      </c>
      <c r="D38" s="6" t="s">
        <v>4</v>
      </c>
      <c r="E38" s="6" t="s">
        <v>5</v>
      </c>
      <c r="F38" s="6" t="s">
        <v>6</v>
      </c>
      <c r="G38" s="6" t="s">
        <v>7</v>
      </c>
      <c r="H38" s="6" t="s">
        <v>8</v>
      </c>
      <c r="I38" s="6" t="s">
        <v>9</v>
      </c>
      <c r="J38" s="6" t="s">
        <v>10</v>
      </c>
      <c r="K38" s="6" t="s">
        <v>11</v>
      </c>
      <c r="L38" s="6" t="s">
        <v>12</v>
      </c>
      <c r="M38" s="8" t="s">
        <v>13</v>
      </c>
      <c r="N38" s="29" t="s">
        <v>47</v>
      </c>
      <c r="O38" s="6" t="s">
        <v>14</v>
      </c>
      <c r="P38" s="18" t="s">
        <v>16</v>
      </c>
    </row>
    <row r="39" spans="1:16" ht="13" thickBot="1">
      <c r="A39" s="40" t="s">
        <v>31</v>
      </c>
      <c r="B39" s="41">
        <v>72869.45</v>
      </c>
      <c r="C39" s="42">
        <v>94664.81</v>
      </c>
      <c r="D39" s="42">
        <v>104197.47</v>
      </c>
      <c r="E39" s="42">
        <v>108965.38</v>
      </c>
      <c r="F39" s="42">
        <v>159517.9</v>
      </c>
      <c r="G39" s="42">
        <v>104385.89</v>
      </c>
      <c r="H39" s="42">
        <v>94076</v>
      </c>
      <c r="I39" s="42">
        <v>100685</v>
      </c>
      <c r="J39" s="42">
        <v>92603</v>
      </c>
      <c r="K39" s="42">
        <v>97743</v>
      </c>
      <c r="L39" s="42">
        <v>113992</v>
      </c>
      <c r="M39" s="43">
        <v>113003.53</v>
      </c>
      <c r="N39" s="46">
        <f>SUM(B39:M39)</f>
        <v>1256703.43</v>
      </c>
      <c r="O39" s="44">
        <f>SUM('TRT 2002'!B39:M39)</f>
        <v>1469421.06</v>
      </c>
      <c r="P39" s="45">
        <f>N39/O39-1</f>
        <v>-0.14476288368971657</v>
      </c>
    </row>
    <row r="40" spans="1:16">
      <c r="B40" s="28">
        <f>B39/'TRT 2002'!B39-1</f>
        <v>0.12552345653688923</v>
      </c>
      <c r="C40" s="28">
        <f>C39/'TRT 2002'!C39-1</f>
        <v>0.21549194556012963</v>
      </c>
      <c r="D40" s="28">
        <f>D39/'TRT 2002'!D39-1</f>
        <v>-0.12026787396087568</v>
      </c>
      <c r="E40" s="28">
        <f>E39/'TRT 2002'!E39-1</f>
        <v>-0.66756880751018222</v>
      </c>
      <c r="F40" s="28">
        <f>F39/'TRT 2002'!F39-1</f>
        <v>0.13185994240862997</v>
      </c>
      <c r="G40" s="28">
        <f>G39/'TRT 2002'!G39-1</f>
        <v>-0.17937666176086653</v>
      </c>
      <c r="H40" s="28">
        <f>H39/'TRT 2002'!H39-1</f>
        <v>7.9537082895173583E-2</v>
      </c>
      <c r="I40" s="28">
        <f>I39/'TRT 2002'!I39-1</f>
        <v>-0.17144855414337024</v>
      </c>
      <c r="J40" s="28">
        <f>J39/'TRT 2002'!J39-1</f>
        <v>8.6691464960499065E-2</v>
      </c>
      <c r="K40" s="28">
        <f>K39/'TRT 2002'!K39-1</f>
        <v>-0.12129125765576443</v>
      </c>
      <c r="L40" s="28">
        <f>L39/'TRT 2002'!L39-1</f>
        <v>2.3090897325354076E-2</v>
      </c>
      <c r="M40" s="28">
        <f>M39/'TRT 2002'!M39-1</f>
        <v>0.17835012985951271</v>
      </c>
      <c r="N40" s="28">
        <f>N39/'TRT 2002'!N39-1</f>
        <v>-0.14476288368971657</v>
      </c>
    </row>
    <row r="44" spans="1:16">
      <c r="E44" s="100"/>
    </row>
  </sheetData>
  <mergeCells count="2">
    <mergeCell ref="A1:P1"/>
    <mergeCell ref="A36:P36"/>
  </mergeCells>
  <phoneticPr fontId="0" type="noConversion"/>
  <pageMargins left="0.5" right="0.5" top="0.75" bottom="0.5" header="0.5" footer="0.5"/>
  <pageSetup scale="8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1"/>
    <pageSetUpPr fitToPage="1"/>
  </sheetPr>
  <dimension ref="A1:Q45"/>
  <sheetViews>
    <sheetView workbookViewId="0">
      <selection activeCell="P43" sqref="P43"/>
    </sheetView>
  </sheetViews>
  <sheetFormatPr baseColWidth="10" defaultColWidth="8.83203125" defaultRowHeight="12" x14ac:dyDescent="0"/>
  <cols>
    <col min="2" max="3" width="8.6640625" bestFit="1" customWidth="1"/>
    <col min="4" max="4" width="10.1640625" bestFit="1" customWidth="1"/>
    <col min="9" max="9" width="11.1640625" bestFit="1" customWidth="1"/>
    <col min="14" max="14" width="9.33203125" customWidth="1"/>
    <col min="15" max="15" width="9.5" bestFit="1" customWidth="1"/>
  </cols>
  <sheetData>
    <row r="1" spans="1:17" ht="21">
      <c r="A1" s="691" t="s">
        <v>110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</row>
    <row r="2" spans="1:17" ht="13" thickBot="1">
      <c r="A2" s="47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3" thickBot="1">
      <c r="A3" s="155" t="s">
        <v>42</v>
      </c>
      <c r="B3" s="156" t="s">
        <v>2</v>
      </c>
      <c r="C3" s="157" t="s">
        <v>3</v>
      </c>
      <c r="D3" s="156" t="s">
        <v>4</v>
      </c>
      <c r="E3" s="156" t="s">
        <v>5</v>
      </c>
      <c r="F3" s="156" t="s">
        <v>6</v>
      </c>
      <c r="G3" s="156" t="s">
        <v>7</v>
      </c>
      <c r="H3" s="156" t="s">
        <v>8</v>
      </c>
      <c r="I3" s="156" t="s">
        <v>9</v>
      </c>
      <c r="J3" s="156" t="s">
        <v>10</v>
      </c>
      <c r="K3" s="156" t="s">
        <v>11</v>
      </c>
      <c r="L3" s="156" t="s">
        <v>12</v>
      </c>
      <c r="M3" s="158" t="s">
        <v>13</v>
      </c>
      <c r="N3" s="159" t="s">
        <v>107</v>
      </c>
      <c r="O3" s="156" t="s">
        <v>100</v>
      </c>
      <c r="P3" s="160" t="s">
        <v>16</v>
      </c>
      <c r="Q3" s="161" t="s">
        <v>58</v>
      </c>
    </row>
    <row r="4" spans="1:17">
      <c r="A4" s="92" t="s">
        <v>17</v>
      </c>
      <c r="B4" s="36">
        <f>'R 2010'!B4+'TRT 2010'!B4</f>
        <v>10588.259999999998</v>
      </c>
      <c r="C4" s="36">
        <f>'R 2010'!C4+'TRT 2010'!C4</f>
        <v>22191.31</v>
      </c>
      <c r="D4" s="36">
        <f>'R 2010'!D4+'TRT 2010'!D4</f>
        <v>14929.57</v>
      </c>
      <c r="E4" s="36">
        <f>'R 2010'!E4+'TRT 2010'!E4</f>
        <v>7821.77</v>
      </c>
      <c r="F4" s="36">
        <f>'R 2010'!F4+'TRT 2010'!F4</f>
        <v>25172.16</v>
      </c>
      <c r="G4" s="36">
        <f>'R 2010'!G4+'TRT 2010'!G4</f>
        <v>16866.899999999998</v>
      </c>
      <c r="H4" s="36">
        <f>'R 2010'!H4+'TRT 2010'!H4</f>
        <v>12509.69</v>
      </c>
      <c r="I4" s="36">
        <f>'R 2010'!I4+'TRT 2010'!I4</f>
        <v>43563.199999999997</v>
      </c>
      <c r="J4" s="36">
        <f>'R 2010'!J4+'TRT 2010'!J4</f>
        <v>21368.69</v>
      </c>
      <c r="K4" s="36">
        <f>'R 2010'!K4+'TRT 2010'!K4</f>
        <v>15467.73</v>
      </c>
      <c r="L4" s="36">
        <f>'R 2010'!L4+'TRT 2010'!L4</f>
        <v>35744.89</v>
      </c>
      <c r="M4" s="36">
        <f>'R 2010'!M4+'TRT 2010'!M4</f>
        <v>30205.53</v>
      </c>
      <c r="N4" s="81">
        <f t="shared" ref="N4:N32" si="0">SUM(B4:M4)</f>
        <v>256429.69999999998</v>
      </c>
      <c r="O4" s="19">
        <f>SUM('TOTAL 2009'!B4:M4)</f>
        <v>271327.70999999996</v>
      </c>
      <c r="P4" s="84">
        <f t="shared" ref="P4:P33" si="1">N4/O4-1</f>
        <v>-5.4907808715888184E-2</v>
      </c>
      <c r="Q4" s="22">
        <f t="shared" ref="Q4:Q33" si="2">N4/$N$33</f>
        <v>3.4050950287859158E-3</v>
      </c>
    </row>
    <row r="5" spans="1:17">
      <c r="A5" s="92" t="s">
        <v>18</v>
      </c>
      <c r="B5" s="19">
        <f>'R 2010'!B5+'TRT 2010'!B5</f>
        <v>33178.050000000003</v>
      </c>
      <c r="C5" s="19">
        <f>'R 2010'!C5+'TRT 2010'!C5</f>
        <v>53238.399999999994</v>
      </c>
      <c r="D5" s="19">
        <f>'R 2010'!D5+'TRT 2010'!D5</f>
        <v>30071.21</v>
      </c>
      <c r="E5" s="19">
        <f>'R 2010'!E5+'TRT 2010'!E5</f>
        <v>30355.78</v>
      </c>
      <c r="F5" s="19">
        <f>'R 2010'!F5+'TRT 2010'!F5</f>
        <v>80529.23000000001</v>
      </c>
      <c r="G5" s="19">
        <f>'R 2010'!G5+'TRT 2010'!G5</f>
        <v>20966.84</v>
      </c>
      <c r="H5" s="19">
        <f>'R 2010'!H5+'TRT 2010'!H5</f>
        <v>42861.05</v>
      </c>
      <c r="I5" s="19">
        <f>'R 2010'!I5+'TRT 2010'!I5</f>
        <v>81732.290000000008</v>
      </c>
      <c r="J5" s="19">
        <f>'R 2010'!J5+'TRT 2010'!J5</f>
        <v>55498.28</v>
      </c>
      <c r="K5" s="19">
        <f>'R 2010'!K5+'TRT 2010'!K5</f>
        <v>44210.91</v>
      </c>
      <c r="L5" s="19">
        <f>'R 2010'!L5+'TRT 2010'!L5</f>
        <v>68894.679999999993</v>
      </c>
      <c r="M5" s="19">
        <f>'R 2010'!M5+'TRT 2010'!M5</f>
        <v>54802.576000000001</v>
      </c>
      <c r="N5" s="81">
        <f t="shared" si="0"/>
        <v>596339.29599999997</v>
      </c>
      <c r="O5" s="19">
        <f>SUM('TOTAL 2009'!B5:M5)</f>
        <v>589765.15</v>
      </c>
      <c r="P5" s="84">
        <f t="shared" si="1"/>
        <v>1.1147057434641505E-2</v>
      </c>
      <c r="Q5" s="22">
        <f t="shared" si="2"/>
        <v>7.918708216245204E-3</v>
      </c>
    </row>
    <row r="6" spans="1:17">
      <c r="A6" s="92" t="s">
        <v>19</v>
      </c>
      <c r="B6" s="19">
        <f>'R 2010'!B6+'TRT 2010'!B6</f>
        <v>99044.22</v>
      </c>
      <c r="C6" s="19">
        <f>'R 2010'!C6+'TRT 2010'!C6</f>
        <v>105819.16</v>
      </c>
      <c r="D6" s="19">
        <f>'R 2010'!D6+'TRT 2010'!D6</f>
        <v>90172.86</v>
      </c>
      <c r="E6" s="19">
        <f>'R 2010'!E6+'TRT 2010'!E6</f>
        <v>86754.63</v>
      </c>
      <c r="F6" s="19">
        <f>'R 2010'!F6+'TRT 2010'!F6</f>
        <v>135517.71</v>
      </c>
      <c r="G6" s="19">
        <f>'R 2010'!G6+'TRT 2010'!G6</f>
        <v>79041.69</v>
      </c>
      <c r="H6" s="19">
        <f>'R 2010'!H6+'TRT 2010'!H6</f>
        <v>100701.18000000001</v>
      </c>
      <c r="I6" s="19">
        <f>'R 2010'!I6+'TRT 2010'!I6</f>
        <v>146992.56</v>
      </c>
      <c r="J6" s="19">
        <f>'R 2010'!J6+'TRT 2010'!J6</f>
        <v>103132.21</v>
      </c>
      <c r="K6" s="19">
        <f>'R 2010'!K6+'TRT 2010'!K6</f>
        <v>114594.56</v>
      </c>
      <c r="L6" s="19">
        <f>'R 2010'!L6+'TRT 2010'!L6</f>
        <v>144451.01999999999</v>
      </c>
      <c r="M6" s="19">
        <f>'R 2010'!M6+'TRT 2010'!M6</f>
        <v>114145.07</v>
      </c>
      <c r="N6" s="81">
        <f t="shared" si="0"/>
        <v>1320366.8700000001</v>
      </c>
      <c r="O6" s="19">
        <f>SUM('TOTAL 2009'!B6:M6)</f>
        <v>1251986.4200000002</v>
      </c>
      <c r="P6" s="84">
        <f t="shared" si="1"/>
        <v>5.4617565260811629E-2</v>
      </c>
      <c r="Q6" s="22">
        <f t="shared" si="2"/>
        <v>1.7532971669079751E-2</v>
      </c>
    </row>
    <row r="7" spans="1:17">
      <c r="A7" s="92" t="s">
        <v>20</v>
      </c>
      <c r="B7" s="19">
        <f>'R 2010'!B7+'TRT 2010'!B7</f>
        <v>34100.42</v>
      </c>
      <c r="C7" s="19">
        <f>'R 2010'!C7+'TRT 2010'!C7</f>
        <v>30322.559999999998</v>
      </c>
      <c r="D7" s="19">
        <f>'R 2010'!D7+'TRT 2010'!D7</f>
        <v>20851.349999999999</v>
      </c>
      <c r="E7" s="19">
        <f>'R 2010'!E7+'TRT 2010'!E7</f>
        <v>22721.760000000002</v>
      </c>
      <c r="F7" s="19">
        <f>'R 2010'!F7+'TRT 2010'!F7</f>
        <v>43827.45</v>
      </c>
      <c r="G7" s="19">
        <f>'R 2010'!G7+'TRT 2010'!G7</f>
        <v>33499.99</v>
      </c>
      <c r="H7" s="19">
        <f>'R 2010'!H7+'TRT 2010'!H7</f>
        <v>33062.369999999995</v>
      </c>
      <c r="I7" s="19">
        <f>'R 2010'!I7+'TRT 2010'!I7</f>
        <v>48377.67</v>
      </c>
      <c r="J7" s="19">
        <f>'R 2010'!J7+'TRT 2010'!J7</f>
        <v>33712.18</v>
      </c>
      <c r="K7" s="19">
        <f>'R 2010'!K7+'TRT 2010'!K7</f>
        <v>34341.589999999997</v>
      </c>
      <c r="L7" s="19">
        <f>'R 2010'!L7+'TRT 2010'!L7</f>
        <v>47804.55</v>
      </c>
      <c r="M7" s="19">
        <f>'R 2010'!M7+'TRT 2010'!M7</f>
        <v>54845.41</v>
      </c>
      <c r="N7" s="81">
        <f t="shared" si="0"/>
        <v>437467.29999999993</v>
      </c>
      <c r="O7" s="19">
        <f>SUM('TOTAL 2009'!B7:M7)</f>
        <v>395754.59</v>
      </c>
      <c r="P7" s="84">
        <f t="shared" si="1"/>
        <v>0.10540044526078618</v>
      </c>
      <c r="Q7" s="22">
        <f t="shared" si="2"/>
        <v>5.8090686394220202E-3</v>
      </c>
    </row>
    <row r="8" spans="1:17">
      <c r="A8" s="92" t="s">
        <v>21</v>
      </c>
      <c r="B8" s="19">
        <f>'R 2010'!B8+'TRT 2010'!B8</f>
        <v>2256.7399999999998</v>
      </c>
      <c r="C8" s="19">
        <f>'R 2010'!C8+'TRT 2010'!C8</f>
        <v>1462.67</v>
      </c>
      <c r="D8" s="19">
        <f>'R 2010'!D8+'TRT 2010'!D8</f>
        <v>1784.92</v>
      </c>
      <c r="E8" s="19">
        <f>'R 2010'!E8+'TRT 2010'!E8</f>
        <v>1109.8499999999999</v>
      </c>
      <c r="F8" s="19">
        <f>'R 2010'!F8+'TRT 2010'!F8</f>
        <v>1508.75</v>
      </c>
      <c r="G8" s="19">
        <f>'R 2010'!G8+'TRT 2010'!G8</f>
        <v>4743.3</v>
      </c>
      <c r="H8" s="19">
        <f>'R 2010'!H8+'TRT 2010'!H8</f>
        <v>5754.36</v>
      </c>
      <c r="I8" s="19">
        <f>'R 2010'!I8+'TRT 2010'!I8</f>
        <v>16712.87</v>
      </c>
      <c r="J8" s="19">
        <f>'R 2010'!J8+'TRT 2010'!J8</f>
        <v>13568.7</v>
      </c>
      <c r="K8" s="19">
        <f>'R 2010'!K8+'TRT 2010'!K8</f>
        <v>6700.96</v>
      </c>
      <c r="L8" s="19">
        <f>'R 2010'!L8+'TRT 2010'!L8</f>
        <v>23993.739999999998</v>
      </c>
      <c r="M8" s="19">
        <f>'R 2010'!M8+'TRT 2010'!M8</f>
        <v>4462.9400000000005</v>
      </c>
      <c r="N8" s="81">
        <f t="shared" si="0"/>
        <v>84059.8</v>
      </c>
      <c r="O8" s="19">
        <f>SUM('TOTAL 2009'!B8:M8)</f>
        <v>90325.19</v>
      </c>
      <c r="P8" s="84">
        <f t="shared" si="1"/>
        <v>-6.9364813957213944E-2</v>
      </c>
      <c r="Q8" s="22">
        <f t="shared" si="2"/>
        <v>1.1162186248345584E-3</v>
      </c>
    </row>
    <row r="9" spans="1:17">
      <c r="A9" s="92" t="s">
        <v>22</v>
      </c>
      <c r="B9" s="19">
        <f>'R 2010'!B9+'CR 2010'!C4+'TRT 2010'!B9</f>
        <v>267255.45999999996</v>
      </c>
      <c r="C9" s="19">
        <f>'R 2010'!C9+'CR 2010'!D4+'TRT 2010'!C9</f>
        <v>302241.73</v>
      </c>
      <c r="D9" s="19">
        <f>'R 2010'!D9+'CR 2010'!E4+'TRT 2010'!D9</f>
        <v>321747.03000000003</v>
      </c>
      <c r="E9" s="19">
        <f>'R 2010'!E9+'CR 2010'!F4+'TRT 2010'!E9</f>
        <v>274515.94</v>
      </c>
      <c r="F9" s="19">
        <f>'R 2010'!F9+'CR 2010'!G4+'TRT 2010'!F9</f>
        <v>397550.72</v>
      </c>
      <c r="G9" s="19">
        <f>'R 2010'!G9+'CR 2010'!H4+'TRT 2010'!G9</f>
        <v>332961.01</v>
      </c>
      <c r="H9" s="19">
        <f>'R 2010'!H9+'CR 2010'!I4+'TRT 2010'!H9</f>
        <v>370667.53</v>
      </c>
      <c r="I9" s="19">
        <f>'R 2010'!I9+'CR 2010'!J4+'TRT 2010'!I9</f>
        <v>450805.32</v>
      </c>
      <c r="J9" s="19">
        <f>'R 2010'!J9+'CR 2010'!K4+'TRT 2010'!J9</f>
        <v>416114.84</v>
      </c>
      <c r="K9" s="19">
        <f>'R 2010'!K9+'CR 2010'!L4+'TRT 2010'!K9</f>
        <v>347708.34</v>
      </c>
      <c r="L9" s="19">
        <f>'R 2010'!L9+'CR 2010'!M4+'TRT 2010'!L9</f>
        <v>388675.12</v>
      </c>
      <c r="M9" s="19">
        <f>'R 2010'!M9+'CR 2010'!N4+'TRT 2010'!M9</f>
        <v>350759.82</v>
      </c>
      <c r="N9" s="81">
        <f t="shared" si="0"/>
        <v>4221002.8599999994</v>
      </c>
      <c r="O9" s="19">
        <f>SUM('TOTAL 2009'!B9:M9)</f>
        <v>4156223.26</v>
      </c>
      <c r="P9" s="84">
        <f t="shared" si="1"/>
        <v>1.5586169449424592E-2</v>
      </c>
      <c r="Q9" s="22">
        <f t="shared" si="2"/>
        <v>5.6050121554083371E-2</v>
      </c>
    </row>
    <row r="10" spans="1:17">
      <c r="A10" s="92" t="s">
        <v>23</v>
      </c>
      <c r="B10" s="19">
        <f>'R 2010'!B10+'CR 2010'!C5+'TRT 2010'!B10</f>
        <v>13842.91</v>
      </c>
      <c r="C10" s="19">
        <f>'R 2010'!C10+'CR 2010'!D5+'TRT 2010'!C10</f>
        <v>22053.55</v>
      </c>
      <c r="D10" s="19">
        <f>'R 2010'!D10+'CR 2010'!E5+'TRT 2010'!D10</f>
        <v>10118.970000000001</v>
      </c>
      <c r="E10" s="19">
        <f>'R 2010'!E10+'CR 2010'!F5+'TRT 2010'!E10</f>
        <v>9112.7200000000012</v>
      </c>
      <c r="F10" s="19">
        <f>'R 2010'!F10+'CR 2010'!G5+'TRT 2010'!F10</f>
        <v>17868.29</v>
      </c>
      <c r="G10" s="19">
        <f>'R 2010'!G10+'CR 2010'!H5+'TRT 2010'!G10</f>
        <v>16674.34</v>
      </c>
      <c r="H10" s="19">
        <f>'R 2010'!H10+'CR 2010'!I5+'TRT 2010'!H10</f>
        <v>23381.8</v>
      </c>
      <c r="I10" s="19">
        <f>'R 2010'!I10+'CR 2010'!J5+'TRT 2010'!I10</f>
        <v>27817.75</v>
      </c>
      <c r="J10" s="19">
        <f>'R 2010'!J10+'CR 2010'!K5+'TRT 2010'!J10</f>
        <v>17659.41</v>
      </c>
      <c r="K10" s="19">
        <f>'R 2010'!K10+'CR 2010'!L5+'TRT 2010'!K10</f>
        <v>10647.24</v>
      </c>
      <c r="L10" s="19">
        <f>'R 2010'!L10+'CR 2010'!M5+'TRT 2010'!L10</f>
        <v>22545.599999999999</v>
      </c>
      <c r="M10" s="19">
        <f>'R 2010'!M10+'CR 2010'!N5+'TRT 2010'!M10</f>
        <v>10752.39</v>
      </c>
      <c r="N10" s="81">
        <f t="shared" si="0"/>
        <v>202474.97000000003</v>
      </c>
      <c r="O10" s="19">
        <f>SUM('TOTAL 2009'!B10:M10)</f>
        <v>186699.80000000002</v>
      </c>
      <c r="P10" s="84">
        <f t="shared" si="1"/>
        <v>8.4494841451356661E-2</v>
      </c>
      <c r="Q10" s="22">
        <f t="shared" si="2"/>
        <v>2.6886375244387743E-3</v>
      </c>
    </row>
    <row r="11" spans="1:17">
      <c r="A11" s="92" t="s">
        <v>51</v>
      </c>
      <c r="B11" s="19">
        <f>'R 2010'!B11+'TRT 2010'!B11</f>
        <v>19007.669999999998</v>
      </c>
      <c r="C11" s="19">
        <f>'R 2010'!C11+'TRT 2010'!C11</f>
        <v>14333.32</v>
      </c>
      <c r="D11" s="19">
        <f>'R 2010'!D11+'TRT 2010'!D11</f>
        <v>15347.8</v>
      </c>
      <c r="E11" s="19">
        <f>'R 2010'!E11+'TRT 2010'!E11</f>
        <v>15801.95</v>
      </c>
      <c r="F11" s="19">
        <f>'R 2010'!F11+'TRT 2010'!F11</f>
        <v>27522.42</v>
      </c>
      <c r="G11" s="19">
        <f>'R 2010'!G11+'TRT 2010'!G11</f>
        <v>28418.62</v>
      </c>
      <c r="H11" s="19">
        <f>'R 2010'!H11+'TRT 2010'!H11</f>
        <v>48953.919999999998</v>
      </c>
      <c r="I11" s="19">
        <f>'R 2010'!I11+'TRT 2010'!I11</f>
        <v>42199.51</v>
      </c>
      <c r="J11" s="19">
        <f>'R 2010'!J11+'TRT 2010'!J11</f>
        <v>38483.089999999997</v>
      </c>
      <c r="K11" s="19">
        <f>'R 2010'!K11+'TRT 2010'!K11</f>
        <v>71241.19</v>
      </c>
      <c r="L11" s="19">
        <f>'R 2010'!L11+'TRT 2010'!L11</f>
        <v>31594.46</v>
      </c>
      <c r="M11" s="19">
        <f>'R 2010'!M11+'TRT 2010'!M11</f>
        <v>17352.47</v>
      </c>
      <c r="N11" s="150">
        <f t="shared" si="0"/>
        <v>370256.42000000004</v>
      </c>
      <c r="O11" s="19">
        <f>SUM('TOTAL 2009'!B11:M11)</f>
        <v>342497.2</v>
      </c>
      <c r="P11" s="84">
        <f t="shared" si="1"/>
        <v>8.1049480112538319E-2</v>
      </c>
      <c r="Q11" s="22">
        <f t="shared" si="2"/>
        <v>4.9165845263558407E-3</v>
      </c>
    </row>
    <row r="12" spans="1:17">
      <c r="A12" s="92" t="s">
        <v>24</v>
      </c>
      <c r="B12" s="19">
        <f>'R 2010'!B12+'TRT 2010'!B12</f>
        <v>39141.980000000003</v>
      </c>
      <c r="C12" s="19">
        <f>'R 2010'!C12+'TRT 2010'!C12</f>
        <v>30293.79</v>
      </c>
      <c r="D12" s="19">
        <f>'R 2010'!D12+'TRT 2010'!D12</f>
        <v>23623.13</v>
      </c>
      <c r="E12" s="19">
        <f>'R 2010'!E12+'TRT 2010'!E12</f>
        <v>17534.3</v>
      </c>
      <c r="F12" s="19">
        <f>'R 2010'!F12+'TRT 2010'!F12</f>
        <v>33712.71</v>
      </c>
      <c r="G12" s="19">
        <f>'R 2010'!G12+'TRT 2010'!G12</f>
        <v>85995.39</v>
      </c>
      <c r="H12" s="19">
        <f>'R 2010'!H12+'TRT 2010'!H12</f>
        <v>203046.97</v>
      </c>
      <c r="I12" s="19">
        <f>'R 2010'!I12+'TRT 2010'!I12</f>
        <v>206437.77</v>
      </c>
      <c r="J12" s="19">
        <f>'R 2010'!J12+'TRT 2010'!J12</f>
        <v>143976.25</v>
      </c>
      <c r="K12" s="19">
        <f>'R 2010'!K12+'TRT 2010'!K12</f>
        <v>229219.16</v>
      </c>
      <c r="L12" s="19">
        <f>'R 2010'!L12+'TRT 2010'!L12</f>
        <v>233065.69</v>
      </c>
      <c r="M12" s="19">
        <f>'R 2010'!M12+'TRT 2010'!M12</f>
        <v>83015.679999999993</v>
      </c>
      <c r="N12" s="81">
        <f t="shared" si="0"/>
        <v>1329062.82</v>
      </c>
      <c r="O12" s="19">
        <f>SUM('TOTAL 2009'!B12:M12)</f>
        <v>1275101.22</v>
      </c>
      <c r="P12" s="84">
        <f t="shared" si="1"/>
        <v>4.2319463861857143E-2</v>
      </c>
      <c r="Q12" s="22">
        <f t="shared" si="2"/>
        <v>1.7648444003663347E-2</v>
      </c>
    </row>
    <row r="13" spans="1:17">
      <c r="A13" s="92" t="s">
        <v>25</v>
      </c>
      <c r="B13" s="19">
        <f>'R 2010'!B13+'CR 2010'!C6+'TRT 2010'!B13</f>
        <v>36787.869999999995</v>
      </c>
      <c r="C13" s="19">
        <f>'R 2010'!C13+'CR 2010'!D6+'TRT 2010'!C13</f>
        <v>49807.729999999996</v>
      </c>
      <c r="D13" s="19">
        <f>'R 2010'!D13+'CR 2010'!E6+'TRT 2010'!D13</f>
        <v>121640.61</v>
      </c>
      <c r="E13" s="19">
        <f>'R 2010'!E13+'CR 2010'!F6+'TRT 2010'!E13</f>
        <v>197335.31</v>
      </c>
      <c r="F13" s="19">
        <f>'R 2010'!F13+'CR 2010'!G6+'TRT 2010'!F13</f>
        <v>257050.15</v>
      </c>
      <c r="G13" s="19">
        <f>'R 2010'!G13+'CR 2010'!H6+'TRT 2010'!G13</f>
        <v>235978.34</v>
      </c>
      <c r="H13" s="19">
        <f>'R 2010'!H13+'CR 2010'!I6+'TRT 2010'!H13</f>
        <v>219607.78</v>
      </c>
      <c r="I13" s="19">
        <f>'R 2010'!I13+'CR 2010'!J6+'TRT 2010'!I13</f>
        <v>226658.47</v>
      </c>
      <c r="J13" s="19">
        <f>'R 2010'!J13+'CR 2010'!K6+'TRT 2010'!J13</f>
        <v>240441.68</v>
      </c>
      <c r="K13" s="19">
        <f>'R 2010'!K13+'CR 2010'!L6+'TRT 2010'!K13</f>
        <v>209332.95</v>
      </c>
      <c r="L13" s="19">
        <f>'R 2010'!L13+'CR 2010'!M6+'TRT 2010'!L13</f>
        <v>108408.70999999999</v>
      </c>
      <c r="M13" s="19">
        <f>'R 2010'!M13+'CR 2010'!N6+'TRT 2010'!M13</f>
        <v>52375.78</v>
      </c>
      <c r="N13" s="81">
        <f t="shared" si="0"/>
        <v>1955425.38</v>
      </c>
      <c r="O13" s="19">
        <f>SUM('TOTAL 2009'!B13:M13)</f>
        <v>1824709.95</v>
      </c>
      <c r="P13" s="84">
        <f t="shared" si="1"/>
        <v>7.163627841235809E-2</v>
      </c>
      <c r="Q13" s="22">
        <f t="shared" si="2"/>
        <v>2.5965827049674085E-2</v>
      </c>
    </row>
    <row r="14" spans="1:17">
      <c r="A14" s="92" t="s">
        <v>26</v>
      </c>
      <c r="B14" s="19">
        <f>'R 2010'!B14+'TRT 2010'!B14</f>
        <v>82398.899999999994</v>
      </c>
      <c r="C14" s="19">
        <f>'R 2010'!C14+'TRT 2010'!C14</f>
        <v>100259.51000000001</v>
      </c>
      <c r="D14" s="19">
        <f>'R 2010'!D14+'TRT 2010'!D14</f>
        <v>79911.66</v>
      </c>
      <c r="E14" s="19">
        <f>'R 2010'!E14+'TRT 2010'!E14</f>
        <v>80822.38</v>
      </c>
      <c r="F14" s="19">
        <f>'R 2010'!F14+'TRT 2010'!F14</f>
        <v>112697</v>
      </c>
      <c r="G14" s="19">
        <f>'R 2010'!G14+'TRT 2010'!G14</f>
        <v>91775.42</v>
      </c>
      <c r="H14" s="19">
        <f>'R 2010'!H14+'TRT 2010'!H14</f>
        <v>85503.739999999991</v>
      </c>
      <c r="I14" s="19">
        <f>'R 2010'!I14+'TRT 2010'!I14</f>
        <v>168254.47999999998</v>
      </c>
      <c r="J14" s="19">
        <f>'R 2010'!J14+'TRT 2010'!J14</f>
        <v>125551.86000000002</v>
      </c>
      <c r="K14" s="19">
        <f>'R 2010'!K14+'TRT 2010'!K14</f>
        <v>113108.42</v>
      </c>
      <c r="L14" s="19">
        <f>'R 2010'!L14+'TRT 2010'!L14</f>
        <v>156811.76</v>
      </c>
      <c r="M14" s="19">
        <f>'R 2010'!M14+'TRT 2010'!M14</f>
        <v>110992.68000000001</v>
      </c>
      <c r="N14" s="81">
        <f t="shared" si="0"/>
        <v>1308087.8099999998</v>
      </c>
      <c r="O14" s="19">
        <f>SUM('TOTAL 2009'!B14:M14)</f>
        <v>1184704.1299999999</v>
      </c>
      <c r="P14" s="84">
        <f t="shared" si="1"/>
        <v>0.10414725236080669</v>
      </c>
      <c r="Q14" s="22">
        <f t="shared" si="2"/>
        <v>1.7369919705269927E-2</v>
      </c>
    </row>
    <row r="15" spans="1:17">
      <c r="A15" s="92" t="s">
        <v>27</v>
      </c>
      <c r="B15" s="19">
        <f>'R 2010'!B15+'TRT 2010'!B15</f>
        <v>6371.43</v>
      </c>
      <c r="C15" s="19">
        <f>'R 2010'!C15+'TRT 2010'!C15</f>
        <v>13151.29</v>
      </c>
      <c r="D15" s="19">
        <f>'R 2010'!D15+'TRT 2010'!D15</f>
        <v>5327.87</v>
      </c>
      <c r="E15" s="19">
        <f>'R 2010'!E15+'TRT 2010'!E15</f>
        <v>7375.66</v>
      </c>
      <c r="F15" s="19">
        <f>'R 2010'!F15+'TRT 2010'!F15</f>
        <v>13170.04</v>
      </c>
      <c r="G15" s="19">
        <f>'R 2010'!G15+'TRT 2010'!G15</f>
        <v>9215.99</v>
      </c>
      <c r="H15" s="19">
        <f>'R 2010'!H15+'TRT 2010'!H15</f>
        <v>10091.44</v>
      </c>
      <c r="I15" s="19">
        <f>'R 2010'!I15+'TRT 2010'!I15</f>
        <v>25219.91</v>
      </c>
      <c r="J15" s="19">
        <f>'R 2010'!J15+'TRT 2010'!J15</f>
        <v>10659.29</v>
      </c>
      <c r="K15" s="19">
        <f>'R 2010'!K15+'TRT 2010'!K15</f>
        <v>8630.14</v>
      </c>
      <c r="L15" s="19">
        <f>'R 2010'!L15+'TRT 2010'!L15</f>
        <v>20395.64</v>
      </c>
      <c r="M15" s="19">
        <f>'R 2010'!M15+'TRT 2010'!M15</f>
        <v>15265.11</v>
      </c>
      <c r="N15" s="81">
        <f t="shared" si="0"/>
        <v>144873.81</v>
      </c>
      <c r="O15" s="19">
        <f>SUM('TOTAL 2009'!B15:M15)</f>
        <v>138856.21</v>
      </c>
      <c r="P15" s="84">
        <f t="shared" si="1"/>
        <v>4.3336916656446345E-2</v>
      </c>
      <c r="Q15" s="22">
        <f t="shared" si="2"/>
        <v>1.9237595732174368E-3</v>
      </c>
    </row>
    <row r="16" spans="1:17">
      <c r="A16" s="92" t="s">
        <v>28</v>
      </c>
      <c r="B16" s="19">
        <f>'R 2010'!B16+'TRT 2010'!B16</f>
        <v>41900.78</v>
      </c>
      <c r="C16" s="19">
        <f>'R 2010'!C16+'TRT 2010'!C16</f>
        <v>45390.65</v>
      </c>
      <c r="D16" s="19">
        <f>'R 2010'!D16+'TRT 2010'!D16</f>
        <v>21315.65</v>
      </c>
      <c r="E16" s="19">
        <f>'R 2010'!E16+'TRT 2010'!E16</f>
        <v>17903.89</v>
      </c>
      <c r="F16" s="19">
        <f>'R 2010'!F16+'TRT 2010'!F16</f>
        <v>83891.97</v>
      </c>
      <c r="G16" s="19">
        <f>'R 2010'!G16+'TRT 2010'!G16</f>
        <v>68995.66</v>
      </c>
      <c r="H16" s="19">
        <f>'R 2010'!H16+'TRT 2010'!H16</f>
        <v>148406.47</v>
      </c>
      <c r="I16" s="19">
        <f>'R 2010'!I16+'TRT 2010'!I16</f>
        <v>186159.26</v>
      </c>
      <c r="J16" s="19">
        <f>'R 2010'!J16+'TRT 2010'!J16</f>
        <v>165740.90999999997</v>
      </c>
      <c r="K16" s="19">
        <f>'R 2010'!K16+'TRT 2010'!K16</f>
        <v>117974.28</v>
      </c>
      <c r="L16" s="19">
        <f>'R 2010'!L16+'TRT 2010'!L16</f>
        <v>194986.58000000002</v>
      </c>
      <c r="M16" s="19">
        <f>'R 2010'!M16+'TRT 2010'!M16</f>
        <v>92009.44</v>
      </c>
      <c r="N16" s="81">
        <f t="shared" si="0"/>
        <v>1184675.54</v>
      </c>
      <c r="O16" s="19">
        <f>SUM('TOTAL 2009'!B16:M16)</f>
        <v>811217.10000000009</v>
      </c>
      <c r="P16" s="84">
        <f t="shared" si="1"/>
        <v>0.46036805683706605</v>
      </c>
      <c r="Q16" s="22">
        <f t="shared" si="2"/>
        <v>1.5731144995990209E-2</v>
      </c>
    </row>
    <row r="17" spans="1:17">
      <c r="A17" s="92" t="s">
        <v>52</v>
      </c>
      <c r="B17" s="19">
        <f>'TRT 2010'!B17</f>
        <v>6287.38</v>
      </c>
      <c r="C17" s="19">
        <f>'TRT 2010'!C17</f>
        <v>7549.45</v>
      </c>
      <c r="D17" s="19">
        <f>'TRT 2010'!D17</f>
        <v>2208.83</v>
      </c>
      <c r="E17" s="19">
        <f>'TRT 2010'!E17</f>
        <v>1147.1600000000001</v>
      </c>
      <c r="F17" s="19">
        <f>'TRT 2010'!F17</f>
        <v>9480.64</v>
      </c>
      <c r="G17" s="19">
        <f>'TRT 2010'!G17</f>
        <v>9455.36</v>
      </c>
      <c r="H17" s="19">
        <f>'TRT 2010'!H17</f>
        <v>7384.29</v>
      </c>
      <c r="I17" s="19">
        <f>'TRT 2010'!I17</f>
        <v>13527.29</v>
      </c>
      <c r="J17" s="19">
        <f>'TRT 2010'!J17</f>
        <v>10815.23</v>
      </c>
      <c r="K17" s="19">
        <f>'TRT 2010'!K17</f>
        <v>9859.27</v>
      </c>
      <c r="L17" s="19">
        <f>'TRT 2010'!L17</f>
        <v>20696.36</v>
      </c>
      <c r="M17" s="19">
        <f>'TRT 2010'!M17</f>
        <v>7157.72</v>
      </c>
      <c r="N17" s="81">
        <f t="shared" si="0"/>
        <v>105568.98000000001</v>
      </c>
      <c r="O17" s="19">
        <f>SUM('TOTAL 2009'!B17:M17)</f>
        <v>100880.09999999999</v>
      </c>
      <c r="P17" s="84">
        <f t="shared" si="1"/>
        <v>4.647973187972676E-2</v>
      </c>
      <c r="Q17" s="22">
        <f t="shared" si="2"/>
        <v>1.4018360938378037E-3</v>
      </c>
    </row>
    <row r="18" spans="1:17">
      <c r="A18" s="92" t="s">
        <v>29</v>
      </c>
      <c r="B18" s="19">
        <f>'R 2010'!B17+'CR 2010'!C7+'TRT 2010'!B18</f>
        <v>2879.42</v>
      </c>
      <c r="C18" s="19">
        <f>'R 2010'!C17+'CR 2010'!D7+'TRT 2010'!C18</f>
        <v>3737.21</v>
      </c>
      <c r="D18" s="19">
        <f>'R 2010'!D17+'CR 2010'!E7+'TRT 2010'!D18</f>
        <v>2005.89</v>
      </c>
      <c r="E18" s="19">
        <f>'R 2010'!E17+'CR 2010'!F7+'TRT 2010'!E18</f>
        <v>2073.2399999999998</v>
      </c>
      <c r="F18" s="19">
        <f>'R 2010'!F17+'CR 2010'!G7+'TRT 2010'!F18</f>
        <v>5915.7999999999993</v>
      </c>
      <c r="G18" s="19">
        <f>'R 2010'!G17+'CR 2010'!H7+'TRT 2010'!G18</f>
        <v>2359.6799999999998</v>
      </c>
      <c r="H18" s="19">
        <f>'R 2010'!H17+'CR 2010'!I7+'TRT 2010'!H18</f>
        <v>2829.17</v>
      </c>
      <c r="I18" s="19">
        <f>'R 2010'!I17+'CR 2010'!J7+'TRT 2010'!I18</f>
        <v>8151.32</v>
      </c>
      <c r="J18" s="19">
        <f>'R 2010'!J17+'CR 2010'!K7+'TRT 2010'!J18</f>
        <v>4198.3</v>
      </c>
      <c r="K18" s="19">
        <f>'R 2010'!K17+'CR 2010'!L7+'TRT 2010'!K18</f>
        <v>3794.3999999999996</v>
      </c>
      <c r="L18" s="19">
        <f>'R 2010'!L17+'CR 2010'!M7+'TRT 2010'!L18</f>
        <v>9285.59</v>
      </c>
      <c r="M18" s="19">
        <f>'R 2010'!M17+'CR 2010'!N7+'TRT 2010'!M18</f>
        <v>3191.12</v>
      </c>
      <c r="N18" s="81">
        <f t="shared" si="0"/>
        <v>50421.140000000007</v>
      </c>
      <c r="O18" s="19">
        <f>SUM('TOTAL 2009'!B18:M18)</f>
        <v>50743.46</v>
      </c>
      <c r="P18" s="84">
        <f t="shared" si="1"/>
        <v>-6.3519515618365441E-3</v>
      </c>
      <c r="Q18" s="22">
        <f t="shared" si="2"/>
        <v>6.6953544445015037E-4</v>
      </c>
    </row>
    <row r="19" spans="1:17">
      <c r="A19" s="92" t="s">
        <v>53</v>
      </c>
      <c r="B19" s="19">
        <f>'TRT 2010'!B19</f>
        <v>331.28</v>
      </c>
      <c r="C19" s="19">
        <f>'TRT 2010'!C19</f>
        <v>3558.03</v>
      </c>
      <c r="D19" s="19">
        <f>'TRT 2010'!D19</f>
        <v>963.59</v>
      </c>
      <c r="E19" s="19">
        <f>'TRT 2010'!E19</f>
        <v>60.13</v>
      </c>
      <c r="F19" s="19">
        <f>'TRT 2010'!F19</f>
        <v>351.21</v>
      </c>
      <c r="G19" s="19">
        <f>'TRT 2010'!G19</f>
        <v>123.53</v>
      </c>
      <c r="H19" s="19">
        <f>'TRT 2010'!H19</f>
        <v>736.38</v>
      </c>
      <c r="I19" s="19">
        <f>'TRT 2010'!I19</f>
        <v>3827.53</v>
      </c>
      <c r="J19" s="19">
        <f>'TRT 2010'!J19</f>
        <v>621.54999999999995</v>
      </c>
      <c r="K19" s="19">
        <f>'TRT 2010'!K19</f>
        <v>1215.67</v>
      </c>
      <c r="L19" s="19">
        <f>'TRT 2010'!L19</f>
        <v>5666.6</v>
      </c>
      <c r="M19" s="19">
        <f>'TRT 2010'!M19</f>
        <v>1551.65</v>
      </c>
      <c r="N19" s="81">
        <f t="shared" si="0"/>
        <v>19007.150000000001</v>
      </c>
      <c r="O19" s="19">
        <f>SUM('TOTAL 2009'!B19:M19)</f>
        <v>15392.01</v>
      </c>
      <c r="P19" s="84">
        <f t="shared" si="1"/>
        <v>0.23487120915332049</v>
      </c>
      <c r="Q19" s="22">
        <f t="shared" si="2"/>
        <v>2.5239335371990152E-4</v>
      </c>
    </row>
    <row r="20" spans="1:17">
      <c r="A20" s="92" t="s">
        <v>30</v>
      </c>
      <c r="B20" s="19">
        <f>'R 2010'!B18+'TRT 2010'!B20</f>
        <v>1577.84</v>
      </c>
      <c r="C20" s="19">
        <f>'R 2010'!C18+'TRT 2010'!C20</f>
        <v>2889.23</v>
      </c>
      <c r="D20" s="19">
        <f>'R 2010'!D18+'TRT 2010'!D20</f>
        <v>1638.66</v>
      </c>
      <c r="E20" s="19">
        <f>'R 2010'!E18+'TRT 2010'!E20</f>
        <v>6792.45</v>
      </c>
      <c r="F20" s="19">
        <f>'R 2010'!F18+'TRT 2010'!F20</f>
        <v>7540.29</v>
      </c>
      <c r="G20" s="19">
        <f>'R 2010'!G18+'TRT 2010'!G20</f>
        <v>6594</v>
      </c>
      <c r="H20" s="19">
        <f>'R 2010'!H18+'TRT 2010'!H20</f>
        <v>26642.760000000002</v>
      </c>
      <c r="I20" s="19">
        <f>'R 2010'!I18+'TRT 2010'!I20</f>
        <v>29541.77</v>
      </c>
      <c r="J20" s="19">
        <f>'R 2010'!J18+'TRT 2010'!J20</f>
        <v>25263.05</v>
      </c>
      <c r="K20" s="19">
        <f>'R 2010'!K18+'TRT 2010'!K20</f>
        <v>7784.14</v>
      </c>
      <c r="L20" s="19">
        <f>'R 2010'!L18+'TRT 2010'!L20</f>
        <v>11641.810000000001</v>
      </c>
      <c r="M20" s="19">
        <f>'R 2010'!M18+'TRT 2010'!M20</f>
        <v>5218.7</v>
      </c>
      <c r="N20" s="81">
        <f t="shared" si="0"/>
        <v>133124.70000000001</v>
      </c>
      <c r="O20" s="19">
        <f>SUM('TOTAL 2009'!B20:M20)</f>
        <v>62378.8</v>
      </c>
      <c r="P20" s="84">
        <f t="shared" si="1"/>
        <v>1.1341337120944939</v>
      </c>
      <c r="Q20" s="22">
        <f t="shared" si="2"/>
        <v>1.7677447432127265E-3</v>
      </c>
    </row>
    <row r="21" spans="1:17">
      <c r="A21" s="92" t="s">
        <v>31</v>
      </c>
      <c r="B21" s="19">
        <f>'R 2010'!B19+'CR 2010'!C8+'TRT 2010'!B21</f>
        <v>2178623.23</v>
      </c>
      <c r="C21" s="19">
        <f>'R 2010'!C19+'CR 2010'!D8+'TRT 2010'!C21</f>
        <v>2856494.79</v>
      </c>
      <c r="D21" s="19">
        <f>'R 2010'!D19+'CR 2010'!E8+'TRT 2010'!D21</f>
        <v>3136569.3000000003</v>
      </c>
      <c r="E21" s="19">
        <f>'R 2010'!E19+'CR 2010'!F8+'TRT 2010'!E21</f>
        <v>3080794.7600000002</v>
      </c>
      <c r="F21" s="19">
        <f>'R 2010'!F19+'CR 2010'!G8+'TRT 2010'!F21</f>
        <v>3834199.67</v>
      </c>
      <c r="G21" s="19">
        <f>'R 2010'!G19+'CR 2010'!H8+'TRT 2010'!G21</f>
        <v>2709993.62</v>
      </c>
      <c r="H21" s="19">
        <f>'R 2010'!H19+'CR 2010'!I8+'TRT 2010'!H21</f>
        <v>2737254.31</v>
      </c>
      <c r="I21" s="19">
        <f>'R 2010'!I19+'CR 2010'!J8+'TRT 2010'!I21</f>
        <v>3366057.9699999997</v>
      </c>
      <c r="J21" s="19">
        <f>'R 2010'!J19+'CR 2010'!K8+'TRT 2010'!J21</f>
        <v>3230269.3</v>
      </c>
      <c r="K21" s="19">
        <f>'R 2010'!K19+'CR 2010'!L8+'TRT 2010'!K21</f>
        <v>3199707.17</v>
      </c>
      <c r="L21" s="19">
        <f>'R 2010'!L19+'CR 2010'!M8+'TRT 2010'!L21</f>
        <v>3133365.33</v>
      </c>
      <c r="M21" s="19">
        <f>'R 2010'!M19+'CR 2010'!N8+'TRT 2010'!M21</f>
        <v>2629909.96</v>
      </c>
      <c r="N21" s="81">
        <f t="shared" si="0"/>
        <v>36093239.409999996</v>
      </c>
      <c r="O21" s="19">
        <f>SUM('TOTAL 2009'!B21:M21)</f>
        <v>36135208.649999999</v>
      </c>
      <c r="P21" s="84">
        <f t="shared" si="1"/>
        <v>-1.1614500529527616E-3</v>
      </c>
      <c r="Q21" s="22">
        <f t="shared" si="2"/>
        <v>0.47927720575179433</v>
      </c>
    </row>
    <row r="22" spans="1:17">
      <c r="A22" s="92" t="s">
        <v>45</v>
      </c>
      <c r="B22" s="19">
        <f>'TRT 2010'!B22</f>
        <v>14388.33</v>
      </c>
      <c r="C22" s="19">
        <f>'TRT 2010'!C22</f>
        <v>21692.45</v>
      </c>
      <c r="D22" s="19">
        <f>'TRT 2010'!D22</f>
        <v>7658.91</v>
      </c>
      <c r="E22" s="19">
        <f>'TRT 2010'!E22</f>
        <v>9735.8799999999992</v>
      </c>
      <c r="F22" s="19">
        <f>'TRT 2010'!F22</f>
        <v>2105.85</v>
      </c>
      <c r="G22" s="19">
        <f>'TRT 2010'!G22</f>
        <v>32502.75</v>
      </c>
      <c r="H22" s="19">
        <f>'TRT 2010'!H22</f>
        <v>54659.46</v>
      </c>
      <c r="I22" s="19">
        <f>'TRT 2010'!I22</f>
        <v>69960.25</v>
      </c>
      <c r="J22" s="19">
        <f>'TRT 2010'!J22</f>
        <v>52986.01</v>
      </c>
      <c r="K22" s="19">
        <f>'TRT 2010'!K22</f>
        <v>62139.3</v>
      </c>
      <c r="L22" s="19">
        <f>'TRT 2010'!L22</f>
        <v>80138.39</v>
      </c>
      <c r="M22" s="19">
        <f>'TRT 2010'!M22</f>
        <v>36397.46</v>
      </c>
      <c r="N22" s="81">
        <f t="shared" si="0"/>
        <v>444365.04000000004</v>
      </c>
      <c r="O22" s="19">
        <f>SUM('TOTAL 2009'!B22:M22)</f>
        <v>452597.39999999997</v>
      </c>
      <c r="P22" s="84">
        <f t="shared" si="1"/>
        <v>-1.8189145585016497E-2</v>
      </c>
      <c r="Q22" s="22">
        <f t="shared" si="2"/>
        <v>5.9006627885547381E-3</v>
      </c>
    </row>
    <row r="23" spans="1:17">
      <c r="A23" s="92" t="s">
        <v>32</v>
      </c>
      <c r="B23" s="19">
        <f>'R 2010'!B21+'TRT 2010'!B23</f>
        <v>8988.06</v>
      </c>
      <c r="C23" s="19">
        <f>'R 2010'!C21+'TRT 2010'!C23</f>
        <v>22665.73</v>
      </c>
      <c r="D23" s="19">
        <f>'R 2010'!D21+'TRT 2010'!D23</f>
        <v>2819.96</v>
      </c>
      <c r="E23" s="19">
        <f>'R 2010'!E21+'TRT 2010'!E23</f>
        <v>3194.09</v>
      </c>
      <c r="F23" s="19">
        <f>'R 2010'!F21+'TRT 2010'!F23</f>
        <v>23781.17</v>
      </c>
      <c r="G23" s="19">
        <f>'R 2010'!G21+'TRT 2010'!G23</f>
        <v>5380.54</v>
      </c>
      <c r="H23" s="19">
        <f>'R 2010'!H21+'TRT 2010'!H23</f>
        <v>13898.439999999999</v>
      </c>
      <c r="I23" s="19">
        <f>'R 2010'!I21+'TRT 2010'!I23</f>
        <v>28188.400000000001</v>
      </c>
      <c r="J23" s="19">
        <f>'R 2010'!J21+'TRT 2010'!J23</f>
        <v>11388.4</v>
      </c>
      <c r="K23" s="19">
        <f>'R 2010'!K21+'TRT 2010'!K23</f>
        <v>13638.380000000001</v>
      </c>
      <c r="L23" s="19">
        <f>'R 2010'!L21+'TRT 2010'!L23</f>
        <v>29911.160000000003</v>
      </c>
      <c r="M23" s="19">
        <f>'R 2010'!M21+'TRT 2010'!M23</f>
        <v>9248.5400000000009</v>
      </c>
      <c r="N23" s="81">
        <f t="shared" si="0"/>
        <v>173102.87</v>
      </c>
      <c r="O23" s="19">
        <f>SUM('TOTAL 2009'!B23:M23)</f>
        <v>154725.78999999998</v>
      </c>
      <c r="P23" s="84">
        <f t="shared" si="1"/>
        <v>0.11877192548184778</v>
      </c>
      <c r="Q23" s="22">
        <f t="shared" si="2"/>
        <v>2.2986094126599792E-3</v>
      </c>
    </row>
    <row r="24" spans="1:17">
      <c r="A24" s="92" t="s">
        <v>33</v>
      </c>
      <c r="B24" s="19">
        <f>'R 2010'!B22+'CR 2010'!C9+'TRT 2010'!B24</f>
        <v>27442.14</v>
      </c>
      <c r="C24" s="19">
        <f>'R 2010'!C22+'CR 2010'!D9+'TRT 2010'!C24</f>
        <v>38738.959999999999</v>
      </c>
      <c r="D24" s="19">
        <f>'R 2010'!D22+'CR 2010'!E9+'TRT 2010'!D24</f>
        <v>22458.800000000003</v>
      </c>
      <c r="E24" s="19">
        <f>'R 2010'!E22+'CR 2010'!F9+'TRT 2010'!E24</f>
        <v>17149.61</v>
      </c>
      <c r="F24" s="19">
        <f>'R 2010'!F22+'CR 2010'!G9+'TRT 2010'!F24</f>
        <v>48565.36</v>
      </c>
      <c r="G24" s="19">
        <f>'R 2010'!G22+'CR 2010'!H9+'TRT 2010'!G24</f>
        <v>21720.77</v>
      </c>
      <c r="H24" s="19">
        <f>'R 2010'!H22+'CR 2010'!I9+'TRT 2010'!H24</f>
        <v>42188.380000000005</v>
      </c>
      <c r="I24" s="19">
        <f>'R 2010'!I22+'CR 2010'!J9+'TRT 2010'!I24</f>
        <v>59803.770000000004</v>
      </c>
      <c r="J24" s="19">
        <f>'R 2010'!J22+'CR 2010'!K9+'TRT 2010'!J24</f>
        <v>55075.839999999997</v>
      </c>
      <c r="K24" s="19">
        <f>'R 2010'!K22+'CR 2010'!L9+'TRT 2010'!K24</f>
        <v>47046.11</v>
      </c>
      <c r="L24" s="19">
        <f>'R 2010'!L22+'CR 2010'!M9+'TRT 2010'!L24</f>
        <v>56879.14</v>
      </c>
      <c r="M24" s="19">
        <f>'R 2010'!M22+'CR 2010'!N9+'TRT 2010'!M24</f>
        <v>43788.66</v>
      </c>
      <c r="N24" s="81">
        <f t="shared" si="0"/>
        <v>480857.54000000004</v>
      </c>
      <c r="O24" s="19">
        <f>SUM('TOTAL 2009'!B24:M24)</f>
        <v>469830.42</v>
      </c>
      <c r="P24" s="84">
        <f t="shared" si="1"/>
        <v>2.3470425776177084E-2</v>
      </c>
      <c r="Q24" s="22">
        <f t="shared" si="2"/>
        <v>6.3852417212523545E-3</v>
      </c>
    </row>
    <row r="25" spans="1:17">
      <c r="A25" s="92" t="s">
        <v>34</v>
      </c>
      <c r="B25" s="19">
        <f>'R 2010'!B23+'TRT 2010'!B25</f>
        <v>201108.49</v>
      </c>
      <c r="C25" s="19">
        <f>'R 2010'!C23+'TRT 2010'!C25</f>
        <v>695762.88</v>
      </c>
      <c r="D25" s="19">
        <f>'R 2010'!D23+'TRT 2010'!D25</f>
        <v>1013396.4600000001</v>
      </c>
      <c r="E25" s="19">
        <f>'R 2010'!E23+'TRT 2010'!E25</f>
        <v>880748.34</v>
      </c>
      <c r="F25" s="19">
        <f>'R 2010'!F23+'TRT 2010'!F25</f>
        <v>972872.79</v>
      </c>
      <c r="G25" s="19">
        <f>'R 2010'!G23+'TRT 2010'!G25</f>
        <v>350468.36</v>
      </c>
      <c r="H25" s="19">
        <f>'R 2010'!H23+'TRT 2010'!H25</f>
        <v>99088.81</v>
      </c>
      <c r="I25" s="19">
        <f>'R 2010'!I23+'TRT 2010'!I25</f>
        <v>272067.14</v>
      </c>
      <c r="J25" s="19">
        <f>'R 2010'!J23+'TRT 2010'!J25</f>
        <v>361573.24</v>
      </c>
      <c r="K25" s="19">
        <f>'R 2010'!K23+'TRT 2010'!K25</f>
        <v>300152.71999999997</v>
      </c>
      <c r="L25" s="19">
        <f>'R 2010'!L23+'TRT 2010'!L25</f>
        <v>261161.75</v>
      </c>
      <c r="M25" s="19">
        <f>'R 2010'!M23+'TRT 2010'!M25</f>
        <v>195438.03999999998</v>
      </c>
      <c r="N25" s="81">
        <f t="shared" si="0"/>
        <v>5603839.0199999996</v>
      </c>
      <c r="O25" s="19">
        <f>SUM('TOTAL 2009'!B25:M25)</f>
        <v>5157407.18</v>
      </c>
      <c r="P25" s="84">
        <f t="shared" si="1"/>
        <v>8.6561294157891044E-2</v>
      </c>
      <c r="Q25" s="22">
        <f t="shared" si="2"/>
        <v>7.441261440901166E-2</v>
      </c>
    </row>
    <row r="26" spans="1:17">
      <c r="A26" s="92" t="s">
        <v>35</v>
      </c>
      <c r="B26" s="19">
        <f>'R 2010'!B24+'TRT 2010'!B26</f>
        <v>45822.28</v>
      </c>
      <c r="C26" s="19">
        <f>'R 2010'!C24+'TRT 2010'!C26</f>
        <v>42165.880000000005</v>
      </c>
      <c r="D26" s="19">
        <f>'R 2010'!D24+'TRT 2010'!D26</f>
        <v>44352.34</v>
      </c>
      <c r="E26" s="19">
        <f>'R 2010'!E24+'TRT 2010'!E26</f>
        <v>36477.919999999998</v>
      </c>
      <c r="F26" s="19">
        <f>'R 2010'!F24+'TRT 2010'!F26</f>
        <v>60438.62</v>
      </c>
      <c r="G26" s="19">
        <f>'R 2010'!G24+'TRT 2010'!G26</f>
        <v>50023.839999999997</v>
      </c>
      <c r="H26" s="19">
        <f>'R 2010'!H24+'TRT 2010'!H26</f>
        <v>47911.240000000005</v>
      </c>
      <c r="I26" s="19">
        <f>'R 2010'!I24+'TRT 2010'!I26</f>
        <v>84558.28</v>
      </c>
      <c r="J26" s="19">
        <f>'R 2010'!J24+'TRT 2010'!J26</f>
        <v>56761.279999999999</v>
      </c>
      <c r="K26" s="19">
        <f>'R 2010'!K24+'TRT 2010'!K26</f>
        <v>52149.01</v>
      </c>
      <c r="L26" s="19">
        <f>'R 2010'!L24+'TRT 2010'!L26</f>
        <v>98038.459999999992</v>
      </c>
      <c r="M26" s="19">
        <f>'R 2010'!M24+'TRT 2010'!M26</f>
        <v>56626.25</v>
      </c>
      <c r="N26" s="81">
        <f t="shared" si="0"/>
        <v>675325.4</v>
      </c>
      <c r="O26" s="19">
        <f>SUM('TOTAL 2009'!B26:M26)</f>
        <v>628262.05000000005</v>
      </c>
      <c r="P26" s="84">
        <f t="shared" si="1"/>
        <v>7.4910381742777421E-2</v>
      </c>
      <c r="Q26" s="22">
        <f t="shared" si="2"/>
        <v>8.9675539235621327E-3</v>
      </c>
    </row>
    <row r="27" spans="1:17" s="154" customFormat="1">
      <c r="A27" s="151" t="s">
        <v>36</v>
      </c>
      <c r="B27" s="111">
        <f>'R 2010'!B25+'CR 2010'!C10+'TRT 2010'!B27</f>
        <v>49071.399999999994</v>
      </c>
      <c r="C27" s="111">
        <f>'R 2010'!C25+'CR 2010'!D10+'TRT 2010'!C27</f>
        <v>60894.59</v>
      </c>
      <c r="D27" s="111">
        <f>'R 2010'!D25+'CR 2010'!E10+'TRT 2010'!D27</f>
        <v>52132.770000000004</v>
      </c>
      <c r="E27" s="111">
        <f>'R 2010'!E25+'CR 2010'!F10+'TRT 2010'!E27</f>
        <v>44186.47</v>
      </c>
      <c r="F27" s="111">
        <f>'R 2010'!F25+'CR 2010'!G10+'TRT 2010'!F27</f>
        <v>70586.540000000008</v>
      </c>
      <c r="G27" s="111">
        <f>'R 2010'!G25+'CR 2010'!H10+'TRT 2010'!G27</f>
        <v>50139.509999999995</v>
      </c>
      <c r="H27" s="111">
        <f>'R 2010'!H25+'CR 2010'!I10+'TRT 2010'!H27</f>
        <v>61231.18</v>
      </c>
      <c r="I27" s="111">
        <f>'R 2010'!I25+'CR 2010'!J10+'TRT 2010'!I27</f>
        <v>109512.95999999999</v>
      </c>
      <c r="J27" s="111">
        <f>'R 2010'!J25+'CR 2010'!K10+'TRT 2010'!J27</f>
        <v>76353.05</v>
      </c>
      <c r="K27" s="111">
        <f>'R 2010'!K25+'CR 2010'!L10+'TRT 2010'!K27</f>
        <v>71300.28</v>
      </c>
      <c r="L27" s="111">
        <f>'R 2010'!L25+'CR 2010'!M10+'TRT 2010'!L27</f>
        <v>103151.7</v>
      </c>
      <c r="M27" s="111">
        <f>'R 2010'!M25+'CR 2010'!N10+'TRT 2010'!M27</f>
        <v>73655.31</v>
      </c>
      <c r="N27" s="81">
        <f t="shared" si="0"/>
        <v>822215.76</v>
      </c>
      <c r="O27" s="111">
        <f>SUM('TOTAL 2009'!B27:M27)</f>
        <v>908598.22000000009</v>
      </c>
      <c r="P27" s="152">
        <f t="shared" si="1"/>
        <v>-9.5072231156253073E-2</v>
      </c>
      <c r="Q27" s="153">
        <f t="shared" si="2"/>
        <v>1.0918090989325472E-2</v>
      </c>
    </row>
    <row r="28" spans="1:17">
      <c r="A28" s="92" t="s">
        <v>37</v>
      </c>
      <c r="B28" s="19">
        <f>'R 2010'!B26+'CR 2010'!C11+'TRT 2010'!B28</f>
        <v>437278.94</v>
      </c>
      <c r="C28" s="19">
        <f>'R 2010'!C26+'CR 2010'!D11+'TRT 2010'!C28</f>
        <v>527751.62</v>
      </c>
      <c r="D28" s="19">
        <f>'R 2010'!D26+'CR 2010'!E11+'TRT 2010'!D28</f>
        <v>499875.31</v>
      </c>
      <c r="E28" s="19">
        <f>'R 2010'!E26+'CR 2010'!F11+'TRT 2010'!E28</f>
        <v>463418.12</v>
      </c>
      <c r="F28" s="19">
        <f>'R 2010'!F26+'CR 2010'!G11+'TRT 2010'!F28</f>
        <v>674376.02</v>
      </c>
      <c r="G28" s="19">
        <f>'R 2010'!G26+'CR 2010'!H11+'TRT 2010'!G28</f>
        <v>559486.67999999993</v>
      </c>
      <c r="H28" s="19">
        <f>'R 2010'!H26+'CR 2010'!I11+'TRT 2010'!H28</f>
        <v>545056.62</v>
      </c>
      <c r="I28" s="19">
        <f>'R 2010'!I26+'CR 2010'!J11+'TRT 2010'!I28</f>
        <v>694689.67999999993</v>
      </c>
      <c r="J28" s="19">
        <f>'R 2010'!J26+'CR 2010'!K11+'TRT 2010'!J28</f>
        <v>584727.41999999993</v>
      </c>
      <c r="K28" s="19">
        <f>'R 2010'!K26+'CR 2010'!L11+'TRT 2010'!K28</f>
        <v>590258.21</v>
      </c>
      <c r="L28" s="19">
        <f>'R 2010'!L26+'CR 2010'!M11+'TRT 2010'!L28</f>
        <v>702537.44</v>
      </c>
      <c r="M28" s="19">
        <f>'R 2010'!M26+'CR 2010'!N11+'TRT 2010'!M28</f>
        <v>545723.97</v>
      </c>
      <c r="N28" s="81">
        <f t="shared" si="0"/>
        <v>6825180.0300000003</v>
      </c>
      <c r="O28" s="19">
        <f>SUM('TOTAL 2009'!B28:M28)</f>
        <v>6772028.9299999997</v>
      </c>
      <c r="P28" s="84">
        <f t="shared" si="1"/>
        <v>7.8486227022069865E-3</v>
      </c>
      <c r="Q28" s="22">
        <f t="shared" si="2"/>
        <v>9.0630635182749539E-2</v>
      </c>
    </row>
    <row r="29" spans="1:17">
      <c r="A29" s="92" t="s">
        <v>38</v>
      </c>
      <c r="B29" s="19">
        <f>'R 2010'!B27+'TRT 2010'!B29</f>
        <v>44885.11</v>
      </c>
      <c r="C29" s="19">
        <f>'R 2010'!C27+'TRT 2010'!C29</f>
        <v>89055.340000000011</v>
      </c>
      <c r="D29" s="19">
        <f>'R 2010'!D27+'TRT 2010'!D29</f>
        <v>196407.47999999998</v>
      </c>
      <c r="E29" s="19">
        <f>'R 2010'!E27+'TRT 2010'!E29</f>
        <v>69364.33</v>
      </c>
      <c r="F29" s="19">
        <f>'R 2010'!F27+'TRT 2010'!F29</f>
        <v>139011.19</v>
      </c>
      <c r="G29" s="19">
        <f>'R 2010'!G27+'TRT 2010'!G29</f>
        <v>64014.770000000004</v>
      </c>
      <c r="H29" s="19">
        <f>'R 2010'!H27+'TRT 2010'!H29</f>
        <v>70456.740000000005</v>
      </c>
      <c r="I29" s="19">
        <f>'R 2010'!I27+'TRT 2010'!I29</f>
        <v>120086.28</v>
      </c>
      <c r="J29" s="19">
        <f>'R 2010'!J27+'TRT 2010'!J29</f>
        <v>108508.94</v>
      </c>
      <c r="K29" s="19">
        <f>'R 2010'!K27+'TRT 2010'!K29</f>
        <v>84065.02</v>
      </c>
      <c r="L29" s="19">
        <f>'R 2010'!L27+'TRT 2010'!L29</f>
        <v>94842.41</v>
      </c>
      <c r="M29" s="19">
        <f>'R 2010'!M27+'TRT 2010'!M29</f>
        <v>57361.31</v>
      </c>
      <c r="N29" s="81">
        <f t="shared" si="0"/>
        <v>1138058.92</v>
      </c>
      <c r="O29" s="19">
        <f>SUM('TOTAL 2009'!B29:M29)</f>
        <v>658770.70000000007</v>
      </c>
      <c r="P29" s="84">
        <f t="shared" si="1"/>
        <v>0.72754938858088214</v>
      </c>
      <c r="Q29" s="22">
        <f t="shared" si="2"/>
        <v>1.5112129253972798E-2</v>
      </c>
    </row>
    <row r="30" spans="1:17">
      <c r="A30" s="92" t="s">
        <v>39</v>
      </c>
      <c r="B30" s="19">
        <f>'R 2010'!B28+'CR 2010'!C12+'TRT 2010'!B30</f>
        <v>299394.21999999997</v>
      </c>
      <c r="C30" s="19">
        <f>'R 2010'!C28+'CR 2010'!D12+'TRT 2010'!C30</f>
        <v>332652.24</v>
      </c>
      <c r="D30" s="19">
        <f>'R 2010'!D28+'CR 2010'!E12+'TRT 2010'!D30</f>
        <v>250043.19</v>
      </c>
      <c r="E30" s="19">
        <f>'R 2010'!E28+'CR 2010'!F12+'TRT 2010'!E30</f>
        <v>351090.51</v>
      </c>
      <c r="F30" s="19">
        <f>'R 2010'!F28+'CR 2010'!G12+'TRT 2010'!F30</f>
        <v>500946.65</v>
      </c>
      <c r="G30" s="19">
        <f>'R 2010'!G28+'CR 2010'!H12+'TRT 2010'!G30</f>
        <v>537430.6</v>
      </c>
      <c r="H30" s="19">
        <f>'R 2010'!H28+'CR 2010'!I12+'TRT 2010'!H30</f>
        <v>499179.77999999997</v>
      </c>
      <c r="I30" s="19">
        <f>'R 2010'!I28+'CR 2010'!J12+'TRT 2010'!I30</f>
        <v>648956.82000000007</v>
      </c>
      <c r="J30" s="19">
        <f>'R 2010'!J28+'CR 2010'!K12+'TRT 2010'!J30</f>
        <v>448851.89999999997</v>
      </c>
      <c r="K30" s="19">
        <f>'R 2010'!K28+'CR 2010'!L12+'TRT 2010'!K30</f>
        <v>433112.93000000005</v>
      </c>
      <c r="L30" s="19">
        <f>'R 2010'!L28+'CR 2010'!M12+'TRT 2010'!L30</f>
        <v>573315.03999999992</v>
      </c>
      <c r="M30" s="19">
        <f>'R 2010'!M28+'CR 2010'!N12+'TRT 2010'!M30</f>
        <v>538751.43999999994</v>
      </c>
      <c r="N30" s="81">
        <f t="shared" si="0"/>
        <v>5413725.3200000003</v>
      </c>
      <c r="O30" s="19">
        <f>SUM('TOTAL 2009'!B30:M30)</f>
        <v>4716362.2200000007</v>
      </c>
      <c r="P30" s="84">
        <f t="shared" si="1"/>
        <v>0.14786037786554895</v>
      </c>
      <c r="Q30" s="22">
        <f t="shared" si="2"/>
        <v>7.1888120503765529E-2</v>
      </c>
    </row>
    <row r="31" spans="1:17">
      <c r="A31" s="92" t="s">
        <v>40</v>
      </c>
      <c r="B31" s="19">
        <f>'R 2010'!B29+'TRT 2010'!B31</f>
        <v>8109.8799999999992</v>
      </c>
      <c r="C31" s="19">
        <f>'R 2010'!C29+'TRT 2010'!C31</f>
        <v>13500.89</v>
      </c>
      <c r="D31" s="19">
        <f>'R 2010'!D29+'TRT 2010'!D31</f>
        <v>2914.94</v>
      </c>
      <c r="E31" s="19">
        <f>'R 2010'!E29+'TRT 2010'!E31</f>
        <v>109.08</v>
      </c>
      <c r="F31" s="19">
        <f>'R 2010'!F29+'TRT 2010'!F31</f>
        <v>10474.549999999999</v>
      </c>
      <c r="G31" s="19">
        <f>'R 2010'!G29+'TRT 2010'!G31</f>
        <v>12860.2</v>
      </c>
      <c r="H31" s="19">
        <f>'R 2010'!H29+'TRT 2010'!H31</f>
        <v>18426.37</v>
      </c>
      <c r="I31" s="19">
        <f>'R 2010'!I29+'TRT 2010'!I31</f>
        <v>50006.52</v>
      </c>
      <c r="J31" s="19">
        <f>'R 2010'!J29+'TRT 2010'!J31</f>
        <v>22882.82</v>
      </c>
      <c r="K31" s="19">
        <f>'R 2010'!K29+'TRT 2010'!K31</f>
        <v>38977.83</v>
      </c>
      <c r="L31" s="19">
        <f>'R 2010'!L29+'TRT 2010'!L31</f>
        <v>49163.53</v>
      </c>
      <c r="M31" s="19">
        <f>'R 2010'!M29+'TRT 2010'!M31</f>
        <v>12951.34</v>
      </c>
      <c r="N31" s="81">
        <f t="shared" si="0"/>
        <v>240377.95</v>
      </c>
      <c r="O31" s="19">
        <f>SUM('TOTAL 2009'!B31:M31)</f>
        <v>241627.90000000002</v>
      </c>
      <c r="P31" s="84">
        <f t="shared" si="1"/>
        <v>-5.1730367229944063E-3</v>
      </c>
      <c r="Q31" s="22">
        <f t="shared" si="2"/>
        <v>3.1919460287741612E-3</v>
      </c>
    </row>
    <row r="32" spans="1:17" ht="13" thickBot="1">
      <c r="A32" s="93" t="s">
        <v>41</v>
      </c>
      <c r="B32" s="20">
        <f>'R 2010'!B30+'CR 2010'!C13+'TRT 2010'!B32</f>
        <v>242675.8</v>
      </c>
      <c r="C32" s="20">
        <f>'R 2010'!C30+'CR 2010'!D13+'TRT 2010'!C32</f>
        <v>319463.25</v>
      </c>
      <c r="D32" s="20">
        <f>'R 2010'!D30+'CR 2010'!E13+'TRT 2010'!D32</f>
        <v>303941.89</v>
      </c>
      <c r="E32" s="20">
        <f>'R 2010'!E30+'CR 2010'!F13+'TRT 2010'!E32</f>
        <v>244831.55</v>
      </c>
      <c r="F32" s="20">
        <f>'R 2010'!F30+'CR 2010'!G13+'TRT 2010'!F32</f>
        <v>363286.19999999995</v>
      </c>
      <c r="G32" s="20">
        <f>'R 2010'!G30+'CR 2010'!H13+'TRT 2010'!G32</f>
        <v>258948.56</v>
      </c>
      <c r="H32" s="20">
        <f>'R 2010'!H30+'CR 2010'!I13+'TRT 2010'!H32</f>
        <v>269050.81</v>
      </c>
      <c r="I32" s="20">
        <f>'R 2010'!I30+'CR 2010'!J13+'TRT 2010'!I32</f>
        <v>379444.24</v>
      </c>
      <c r="J32" s="20">
        <f>'R 2010'!J30+'CR 2010'!K13+'TRT 2010'!J32</f>
        <v>317405.10000000003</v>
      </c>
      <c r="K32" s="20">
        <f>'R 2010'!K30+'CR 2010'!L13+'TRT 2010'!K32</f>
        <v>293261.93</v>
      </c>
      <c r="L32" s="20">
        <f>'R 2010'!L30+'CR 2010'!M13+'TRT 2010'!L32</f>
        <v>397351.29</v>
      </c>
      <c r="M32" s="20">
        <f>'R 2010'!M30+'CR 2010'!N13+'TRT 2010'!M32</f>
        <v>289056.20999999996</v>
      </c>
      <c r="N32" s="82">
        <f t="shared" si="0"/>
        <v>3678716.83</v>
      </c>
      <c r="O32" s="19">
        <f>SUM('TOTAL 2009'!B32:M32)</f>
        <v>3546198.22</v>
      </c>
      <c r="P32" s="85">
        <f t="shared" si="1"/>
        <v>3.7369205492410407E-2</v>
      </c>
      <c r="Q32" s="21">
        <f t="shared" si="2"/>
        <v>4.8849179288296497E-2</v>
      </c>
    </row>
    <row r="33" spans="1:17" ht="14" thickTop="1" thickBot="1">
      <c r="A33" s="162" t="s">
        <v>54</v>
      </c>
      <c r="B33" s="163">
        <f t="shared" ref="B33:O33" si="3">SUM(B4:B32)</f>
        <v>4254738.4899999993</v>
      </c>
      <c r="C33" s="164">
        <f t="shared" si="3"/>
        <v>5829138.21</v>
      </c>
      <c r="D33" s="163">
        <f t="shared" si="3"/>
        <v>6296230.9500000002</v>
      </c>
      <c r="E33" s="163">
        <f t="shared" si="3"/>
        <v>5980339.5799999991</v>
      </c>
      <c r="F33" s="163">
        <f t="shared" si="3"/>
        <v>7953951.1500000013</v>
      </c>
      <c r="G33" s="163">
        <f t="shared" si="3"/>
        <v>5696636.2599999988</v>
      </c>
      <c r="H33" s="165">
        <f t="shared" si="3"/>
        <v>5800543.04</v>
      </c>
      <c r="I33" s="163">
        <f t="shared" si="3"/>
        <v>7609311.2799999993</v>
      </c>
      <c r="J33" s="163">
        <f t="shared" si="3"/>
        <v>6753588.8200000012</v>
      </c>
      <c r="K33" s="163">
        <f t="shared" si="3"/>
        <v>6531639.839999998</v>
      </c>
      <c r="L33" s="163">
        <f t="shared" si="3"/>
        <v>7104518.4400000004</v>
      </c>
      <c r="M33" s="166">
        <f t="shared" si="3"/>
        <v>5497012.5760000004</v>
      </c>
      <c r="N33" s="167">
        <f t="shared" si="3"/>
        <v>75307648.635999978</v>
      </c>
      <c r="O33" s="168">
        <f t="shared" si="3"/>
        <v>72590179.980000004</v>
      </c>
      <c r="P33" s="169">
        <f t="shared" si="1"/>
        <v>3.7435761376382937E-2</v>
      </c>
      <c r="Q33" s="170">
        <f t="shared" si="2"/>
        <v>1</v>
      </c>
    </row>
    <row r="34" spans="1:17">
      <c r="B34" s="28">
        <f>B33/'TOTAL 2009'!B33-1</f>
        <v>4.639155541051565E-2</v>
      </c>
      <c r="C34" s="28">
        <f>C33/'TOTAL 2009'!C33-1</f>
        <v>-9.0796189896531265E-2</v>
      </c>
      <c r="D34" s="28">
        <f>D33/'TOTAL 2009'!D33-1</f>
        <v>3.9253648018710896E-2</v>
      </c>
      <c r="E34" s="28">
        <f>E33/'TOTAL 2009'!E33-1</f>
        <v>1.3768541176365057E-2</v>
      </c>
      <c r="F34" s="28">
        <f>F33/'TOTAL 2009'!F33-1</f>
        <v>0.1115345988293488</v>
      </c>
      <c r="G34" s="28">
        <f>G33/'TOTAL 2009'!G33-1</f>
        <v>7.7131953075291193E-3</v>
      </c>
      <c r="H34" s="28">
        <f>H33/'TOTAL 2009'!H33-1</f>
        <v>0.1123874254970838</v>
      </c>
      <c r="I34" s="28">
        <f>I33/'TOTAL 2009'!I33-1</f>
        <v>8.0489429391897405E-2</v>
      </c>
      <c r="J34" s="28">
        <f>J33/'TOTAL 2009'!J33-1</f>
        <v>6.3050473874626478E-2</v>
      </c>
      <c r="K34" s="28">
        <f>K33/'TOTAL 2009'!K33-1</f>
        <v>5.5541347479979297E-3</v>
      </c>
      <c r="L34" s="28">
        <f>L33/'TOTAL 2009'!L33-1</f>
        <v>2.5001207073029885E-2</v>
      </c>
      <c r="M34" s="28">
        <f>M33/'TOTAL 2009'!M33-1</f>
        <v>3.5289545273640144E-2</v>
      </c>
      <c r="N34" s="28"/>
    </row>
    <row r="37" spans="1:17">
      <c r="I37" s="116"/>
      <c r="J37" s="121"/>
    </row>
    <row r="38" spans="1:17">
      <c r="D38" s="100"/>
      <c r="I38" s="116">
        <f>SUM('TOTAL 2009'!H33:M33)</f>
        <v>37346423.300000004</v>
      </c>
      <c r="J38" s="121"/>
    </row>
    <row r="39" spans="1:17">
      <c r="I39" s="116">
        <f>SUM(B33:G33)</f>
        <v>36011034.640000001</v>
      </c>
    </row>
    <row r="40" spans="1:17">
      <c r="I40" s="116">
        <f>SUM(I38:I39)</f>
        <v>73357457.939999998</v>
      </c>
    </row>
    <row r="41" spans="1:17">
      <c r="I41" s="116">
        <f>I40-29273322</f>
        <v>44084135.939999998</v>
      </c>
      <c r="J41" t="s">
        <v>117</v>
      </c>
    </row>
    <row r="42" spans="1:17">
      <c r="I42" s="116"/>
    </row>
    <row r="43" spans="1:17">
      <c r="I43" s="116"/>
    </row>
    <row r="44" spans="1:17">
      <c r="I44" s="100"/>
    </row>
    <row r="45" spans="1:17">
      <c r="I45" s="100"/>
    </row>
  </sheetData>
  <mergeCells count="1">
    <mergeCell ref="A1:Q1"/>
  </mergeCells>
  <phoneticPr fontId="0" type="noConversion"/>
  <pageMargins left="0.25" right="0.25" top="1" bottom="1" header="0.5" footer="0.5"/>
  <pageSetup scale="86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 enableFormatConditionsCalculation="0">
    <tabColor rgb="FF0070C0"/>
    <pageSetUpPr fitToPage="1"/>
  </sheetPr>
  <dimension ref="A1:P40"/>
  <sheetViews>
    <sheetView workbookViewId="0">
      <selection activeCell="M30" sqref="M30"/>
    </sheetView>
  </sheetViews>
  <sheetFormatPr baseColWidth="10" defaultColWidth="8.83203125" defaultRowHeight="12" x14ac:dyDescent="0"/>
  <cols>
    <col min="1" max="1" width="11.33203125" style="48" bestFit="1" customWidth="1"/>
    <col min="2" max="2" width="7.5" bestFit="1" customWidth="1"/>
    <col min="3" max="13" width="8.6640625" bestFit="1" customWidth="1"/>
    <col min="14" max="15" width="9.5" bestFit="1" customWidth="1"/>
    <col min="16" max="16" width="10.1640625" bestFit="1" customWidth="1"/>
    <col min="17" max="17" width="10" bestFit="1" customWidth="1"/>
  </cols>
  <sheetData>
    <row r="1" spans="1:16" ht="21">
      <c r="A1" s="691" t="s">
        <v>50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16" ht="13" thickBot="1">
      <c r="A2" s="47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3" thickBot="1">
      <c r="A3" s="5" t="s">
        <v>42</v>
      </c>
      <c r="B3" s="7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8" t="s">
        <v>13</v>
      </c>
      <c r="N3" s="52" t="s">
        <v>68</v>
      </c>
      <c r="O3" s="6" t="s">
        <v>15</v>
      </c>
      <c r="P3" s="18" t="s">
        <v>16</v>
      </c>
    </row>
    <row r="4" spans="1:16">
      <c r="A4" s="49" t="s">
        <v>17</v>
      </c>
      <c r="B4" s="50">
        <v>1482.52</v>
      </c>
      <c r="C4" s="19">
        <v>15206.68</v>
      </c>
      <c r="D4" s="19">
        <v>1023.83</v>
      </c>
      <c r="E4" s="19">
        <v>0</v>
      </c>
      <c r="F4" s="19">
        <v>16662.63</v>
      </c>
      <c r="G4" s="19">
        <v>2517.63</v>
      </c>
      <c r="H4" s="19">
        <v>1894.8</v>
      </c>
      <c r="I4" s="19">
        <v>21334.36</v>
      </c>
      <c r="J4" s="19">
        <v>3890.03</v>
      </c>
      <c r="K4" s="19">
        <v>2414.62</v>
      </c>
      <c r="L4" s="19">
        <v>28827.9</v>
      </c>
      <c r="M4" s="51">
        <v>2021.4</v>
      </c>
      <c r="N4" s="60">
        <v>104583</v>
      </c>
      <c r="O4" s="19">
        <v>87610.41</v>
      </c>
      <c r="P4" s="22">
        <f t="shared" ref="P4:P33" si="0">N4/O4-1</f>
        <v>0.19372800561029213</v>
      </c>
    </row>
    <row r="5" spans="1:16">
      <c r="A5" s="49" t="s">
        <v>18</v>
      </c>
      <c r="B5" s="50">
        <v>2168.5500000000002</v>
      </c>
      <c r="C5" s="19">
        <v>7336.46</v>
      </c>
      <c r="D5" s="19">
        <v>2169.5</v>
      </c>
      <c r="E5" s="19">
        <v>5375.03</v>
      </c>
      <c r="F5" s="19">
        <v>8935.31</v>
      </c>
      <c r="G5" s="19">
        <v>3355.38</v>
      </c>
      <c r="H5" s="19">
        <v>3235.93</v>
      </c>
      <c r="I5" s="19">
        <v>16493.830000000002</v>
      </c>
      <c r="J5" s="19">
        <v>4807.75</v>
      </c>
      <c r="K5" s="19">
        <v>5353.32</v>
      </c>
      <c r="L5" s="19">
        <v>12577.47</v>
      </c>
      <c r="M5" s="51">
        <v>8425.2000000000007</v>
      </c>
      <c r="N5" s="60">
        <v>80886</v>
      </c>
      <c r="O5" s="19">
        <v>65002.18</v>
      </c>
      <c r="P5" s="22">
        <f t="shared" si="0"/>
        <v>0.24435826613815115</v>
      </c>
    </row>
    <row r="6" spans="1:16">
      <c r="A6" s="49" t="s">
        <v>19</v>
      </c>
      <c r="B6" s="50">
        <v>10117.76</v>
      </c>
      <c r="C6" s="19">
        <v>14544.86</v>
      </c>
      <c r="D6" s="19">
        <v>15234.36</v>
      </c>
      <c r="E6" s="19">
        <v>34670.26</v>
      </c>
      <c r="F6" s="19">
        <v>26947.95</v>
      </c>
      <c r="G6" s="19">
        <v>11151.31</v>
      </c>
      <c r="H6" s="19">
        <v>0</v>
      </c>
      <c r="I6" s="19">
        <v>35628.26</v>
      </c>
      <c r="J6" s="19">
        <v>15156.37</v>
      </c>
      <c r="K6" s="19">
        <v>22973.21</v>
      </c>
      <c r="L6" s="19">
        <v>43169.86</v>
      </c>
      <c r="M6" s="51">
        <v>12562.7</v>
      </c>
      <c r="N6" s="60">
        <v>248004</v>
      </c>
      <c r="O6" s="19">
        <v>226023.54</v>
      </c>
      <c r="P6" s="22">
        <f t="shared" si="0"/>
        <v>9.724854322695764E-2</v>
      </c>
    </row>
    <row r="7" spans="1:16">
      <c r="A7" s="49" t="s">
        <v>20</v>
      </c>
      <c r="B7" s="50">
        <v>7210.76</v>
      </c>
      <c r="C7" s="19">
        <v>15162.16</v>
      </c>
      <c r="D7" s="19">
        <v>5924.22</v>
      </c>
      <c r="E7" s="19">
        <v>6952.49</v>
      </c>
      <c r="F7" s="19">
        <v>9420.84</v>
      </c>
      <c r="G7" s="19">
        <v>18667.09</v>
      </c>
      <c r="H7" s="19">
        <v>11588.81</v>
      </c>
      <c r="I7" s="19">
        <v>24671.22</v>
      </c>
      <c r="J7" s="19">
        <v>10530.42</v>
      </c>
      <c r="K7" s="19">
        <v>11228.13</v>
      </c>
      <c r="L7" s="19">
        <v>23664.41</v>
      </c>
      <c r="M7" s="51">
        <v>12352.01</v>
      </c>
      <c r="N7" s="60">
        <v>160321</v>
      </c>
      <c r="O7" s="19">
        <v>136360.24</v>
      </c>
      <c r="P7" s="22">
        <f t="shared" si="0"/>
        <v>0.17571661651519532</v>
      </c>
    </row>
    <row r="8" spans="1:16">
      <c r="A8" s="49" t="s">
        <v>21</v>
      </c>
      <c r="B8" s="50">
        <v>0</v>
      </c>
      <c r="C8" s="19">
        <v>2794.04</v>
      </c>
      <c r="D8" s="19">
        <v>260.57</v>
      </c>
      <c r="E8" s="19">
        <v>3257.44</v>
      </c>
      <c r="F8" s="19">
        <v>6654.46</v>
      </c>
      <c r="G8" s="19">
        <v>5608.8</v>
      </c>
      <c r="H8" s="19">
        <v>5011.58</v>
      </c>
      <c r="I8" s="19">
        <v>15240.27</v>
      </c>
      <c r="J8" s="19">
        <v>5012.34</v>
      </c>
      <c r="K8" s="19">
        <v>5325.6</v>
      </c>
      <c r="L8" s="19">
        <v>9592.84</v>
      </c>
      <c r="M8" s="51">
        <v>140.91999999999999</v>
      </c>
      <c r="N8" s="60">
        <v>59795</v>
      </c>
      <c r="O8" s="19">
        <v>55510.96</v>
      </c>
      <c r="P8" s="22">
        <f t="shared" si="0"/>
        <v>7.7174669650822203E-2</v>
      </c>
    </row>
    <row r="9" spans="1:16">
      <c r="A9" s="49" t="s">
        <v>22</v>
      </c>
      <c r="B9" s="50">
        <v>40411.730000000003</v>
      </c>
      <c r="C9" s="19">
        <v>24121.03</v>
      </c>
      <c r="D9" s="19">
        <v>34897.11</v>
      </c>
      <c r="E9" s="19">
        <v>113047.91</v>
      </c>
      <c r="F9" s="19">
        <v>53123.37</v>
      </c>
      <c r="G9" s="19">
        <v>51320.81</v>
      </c>
      <c r="H9" s="19">
        <v>99978.82</v>
      </c>
      <c r="I9" s="19">
        <v>69086.3</v>
      </c>
      <c r="J9" s="19">
        <v>37581.15</v>
      </c>
      <c r="K9" s="19">
        <v>49561.79</v>
      </c>
      <c r="L9" s="19">
        <v>38340.870000000003</v>
      </c>
      <c r="M9" s="51">
        <v>41910.5</v>
      </c>
      <c r="N9" s="60">
        <v>665549</v>
      </c>
      <c r="O9" s="19">
        <v>427656.66</v>
      </c>
      <c r="P9" s="22">
        <f t="shared" si="0"/>
        <v>0.55626946158163437</v>
      </c>
    </row>
    <row r="10" spans="1:16">
      <c r="A10" s="49" t="s">
        <v>23</v>
      </c>
      <c r="B10" s="50">
        <v>1221.6099999999999</v>
      </c>
      <c r="C10" s="19">
        <v>1872.06</v>
      </c>
      <c r="D10" s="19">
        <v>1192.54</v>
      </c>
      <c r="E10" s="19">
        <v>628.15</v>
      </c>
      <c r="F10" s="19">
        <v>1612.74</v>
      </c>
      <c r="G10" s="19">
        <v>763.61</v>
      </c>
      <c r="H10" s="19">
        <v>1673.19</v>
      </c>
      <c r="I10" s="19">
        <v>4221.22</v>
      </c>
      <c r="J10" s="19">
        <v>3124.7</v>
      </c>
      <c r="K10" s="19">
        <v>1019.27</v>
      </c>
      <c r="L10" s="19">
        <v>6455.98</v>
      </c>
      <c r="M10" s="51">
        <v>989.16</v>
      </c>
      <c r="N10" s="60">
        <v>25992</v>
      </c>
      <c r="O10" s="19">
        <v>26956.84</v>
      </c>
      <c r="P10" s="22">
        <f t="shared" si="0"/>
        <v>-3.5792029036044282E-2</v>
      </c>
    </row>
    <row r="11" spans="1:16">
      <c r="A11" s="49" t="s">
        <v>51</v>
      </c>
      <c r="B11" s="50">
        <v>347.16</v>
      </c>
      <c r="C11" s="19">
        <v>2068.56</v>
      </c>
      <c r="D11" s="19">
        <v>297.86</v>
      </c>
      <c r="E11" s="19">
        <v>162.28</v>
      </c>
      <c r="F11" s="19">
        <v>2761.05</v>
      </c>
      <c r="G11" s="19">
        <v>875.61</v>
      </c>
      <c r="H11" s="19">
        <v>1364.98</v>
      </c>
      <c r="I11" s="19">
        <v>6907.77</v>
      </c>
      <c r="J11" s="19">
        <v>330.6</v>
      </c>
      <c r="K11" s="19">
        <v>935.3</v>
      </c>
      <c r="L11" s="19">
        <v>8101.11</v>
      </c>
      <c r="M11" s="51">
        <v>0</v>
      </c>
      <c r="N11" s="60">
        <v>23026</v>
      </c>
      <c r="O11" s="19">
        <v>18096.32</v>
      </c>
      <c r="P11" s="22">
        <f t="shared" si="0"/>
        <v>0.27241339675690979</v>
      </c>
    </row>
    <row r="12" spans="1:16">
      <c r="A12" s="49" t="s">
        <v>24</v>
      </c>
      <c r="B12" s="50">
        <v>8217.6200000000008</v>
      </c>
      <c r="C12" s="19">
        <v>16246.91</v>
      </c>
      <c r="D12" s="19">
        <v>2078.1999999999998</v>
      </c>
      <c r="E12" s="19">
        <v>4142.83</v>
      </c>
      <c r="F12" s="19">
        <v>15777.82</v>
      </c>
      <c r="G12" s="19">
        <v>22442.57</v>
      </c>
      <c r="H12" s="19">
        <v>30788.55</v>
      </c>
      <c r="I12" s="19">
        <v>88249.02</v>
      </c>
      <c r="J12" s="19">
        <v>43891.48</v>
      </c>
      <c r="K12" s="19">
        <v>49944.34</v>
      </c>
      <c r="L12" s="19">
        <v>113774.74</v>
      </c>
      <c r="M12" s="51">
        <v>32171.02</v>
      </c>
      <c r="N12" s="60">
        <v>437713</v>
      </c>
      <c r="O12" s="19">
        <v>430221.66</v>
      </c>
      <c r="P12" s="22">
        <f t="shared" si="0"/>
        <v>1.7412744862729701E-2</v>
      </c>
    </row>
    <row r="13" spans="1:16">
      <c r="A13" s="49" t="s">
        <v>25</v>
      </c>
      <c r="B13" s="50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51">
        <v>0</v>
      </c>
      <c r="N13" s="60">
        <v>836160</v>
      </c>
      <c r="O13" s="19">
        <v>717.04</v>
      </c>
      <c r="P13" s="22">
        <f t="shared" si="0"/>
        <v>1165.1274126966418</v>
      </c>
    </row>
    <row r="14" spans="1:16">
      <c r="A14" s="49" t="s">
        <v>26</v>
      </c>
      <c r="B14" s="50">
        <v>9744.9</v>
      </c>
      <c r="C14" s="19">
        <v>45709.1</v>
      </c>
      <c r="D14" s="19">
        <v>14891.52</v>
      </c>
      <c r="E14" s="19">
        <v>19377.87</v>
      </c>
      <c r="F14" s="19">
        <v>49748.97</v>
      </c>
      <c r="G14" s="19">
        <v>24221.46</v>
      </c>
      <c r="H14" s="19">
        <v>19547.63</v>
      </c>
      <c r="I14" s="19">
        <v>61430.73</v>
      </c>
      <c r="J14" s="19">
        <v>39394.33</v>
      </c>
      <c r="K14" s="19">
        <v>21166.5</v>
      </c>
      <c r="L14" s="19">
        <v>85426.98</v>
      </c>
      <c r="M14" s="51">
        <v>5922.15</v>
      </c>
      <c r="N14" s="60">
        <v>409594</v>
      </c>
      <c r="O14" s="19">
        <v>389679.4</v>
      </c>
      <c r="P14" s="22">
        <f t="shared" si="0"/>
        <v>5.1105087926125892E-2</v>
      </c>
    </row>
    <row r="15" spans="1:16">
      <c r="A15" s="49" t="s">
        <v>27</v>
      </c>
      <c r="B15" s="50">
        <v>66.69</v>
      </c>
      <c r="C15" s="19">
        <v>10715.1</v>
      </c>
      <c r="D15" s="19">
        <v>2121.66</v>
      </c>
      <c r="E15" s="19"/>
      <c r="F15" s="19">
        <v>17507.810000000001</v>
      </c>
      <c r="G15" s="19"/>
      <c r="H15" s="19">
        <v>401.65</v>
      </c>
      <c r="I15" s="19">
        <v>17154.37</v>
      </c>
      <c r="J15" s="19"/>
      <c r="K15" s="19">
        <v>477.21</v>
      </c>
      <c r="L15" s="19">
        <v>23105.23</v>
      </c>
      <c r="M15" s="51">
        <v>47.32</v>
      </c>
      <c r="N15" s="60">
        <v>74783</v>
      </c>
      <c r="O15" s="19">
        <v>55803.88</v>
      </c>
      <c r="P15" s="22">
        <f t="shared" si="0"/>
        <v>0.34010394976119951</v>
      </c>
    </row>
    <row r="16" spans="1:16">
      <c r="A16" s="49" t="s">
        <v>28</v>
      </c>
      <c r="B16" s="50">
        <v>5962.72</v>
      </c>
      <c r="C16" s="19">
        <v>11753.58</v>
      </c>
      <c r="D16" s="19">
        <v>4013.87</v>
      </c>
      <c r="E16" s="19">
        <v>8525.2000000000007</v>
      </c>
      <c r="F16" s="19">
        <v>13508.29</v>
      </c>
      <c r="G16" s="19">
        <v>13274.87</v>
      </c>
      <c r="H16" s="19">
        <v>21651.5</v>
      </c>
      <c r="I16" s="19">
        <v>47783.68</v>
      </c>
      <c r="J16" s="19">
        <v>25587</v>
      </c>
      <c r="K16" s="19">
        <v>31503</v>
      </c>
      <c r="L16" s="19">
        <v>47542.95</v>
      </c>
      <c r="M16" s="51">
        <v>18046.419999999998</v>
      </c>
      <c r="N16" s="60">
        <v>251410</v>
      </c>
      <c r="O16" s="19">
        <v>268983.17</v>
      </c>
      <c r="P16" s="22">
        <f t="shared" si="0"/>
        <v>-6.5331857008005367E-2</v>
      </c>
    </row>
    <row r="17" spans="1:16">
      <c r="A17" s="49" t="s">
        <v>52</v>
      </c>
      <c r="B17" s="50">
        <v>1528.89</v>
      </c>
      <c r="C17" s="19">
        <v>10027.49</v>
      </c>
      <c r="D17" s="19">
        <v>2481.83</v>
      </c>
      <c r="E17" s="19">
        <v>1785.07</v>
      </c>
      <c r="F17" s="19">
        <v>8296.31</v>
      </c>
      <c r="G17" s="19">
        <v>1522.96</v>
      </c>
      <c r="H17" s="19">
        <v>7302.31</v>
      </c>
      <c r="I17" s="19">
        <v>17080.97</v>
      </c>
      <c r="J17" s="19">
        <v>2585.4899999999998</v>
      </c>
      <c r="K17" s="19">
        <v>3626.35</v>
      </c>
      <c r="L17" s="19">
        <v>20583.36</v>
      </c>
      <c r="M17" s="51">
        <v>2122.4299999999998</v>
      </c>
      <c r="N17" s="60">
        <v>82729</v>
      </c>
      <c r="O17" s="19">
        <v>70291.520000000004</v>
      </c>
      <c r="P17" s="22">
        <f t="shared" si="0"/>
        <v>0.17694140061276231</v>
      </c>
    </row>
    <row r="18" spans="1:16">
      <c r="A18" s="49" t="s">
        <v>29</v>
      </c>
      <c r="B18" s="50">
        <v>0</v>
      </c>
      <c r="C18" s="19">
        <v>26.09</v>
      </c>
      <c r="D18" s="19">
        <v>13.52</v>
      </c>
      <c r="E18" s="19">
        <v>0</v>
      </c>
      <c r="F18" s="19">
        <v>6526.68</v>
      </c>
      <c r="G18" s="19">
        <v>6.45</v>
      </c>
      <c r="H18" s="19">
        <v>0</v>
      </c>
      <c r="I18" s="19">
        <v>416.61</v>
      </c>
      <c r="J18" s="19">
        <v>207.27</v>
      </c>
      <c r="K18" s="19">
        <v>273.20999999999998</v>
      </c>
      <c r="L18" s="19">
        <v>248.73</v>
      </c>
      <c r="M18" s="51">
        <v>9.33</v>
      </c>
      <c r="N18" s="60">
        <v>7839</v>
      </c>
      <c r="O18" s="19">
        <v>4869.13</v>
      </c>
      <c r="P18" s="22">
        <f t="shared" si="0"/>
        <v>0.60993853111336116</v>
      </c>
    </row>
    <row r="19" spans="1:16">
      <c r="A19" s="49" t="s">
        <v>53</v>
      </c>
      <c r="B19" s="50">
        <v>146.65</v>
      </c>
      <c r="C19" s="19">
        <v>402.71</v>
      </c>
      <c r="D19" s="19">
        <v>53.17</v>
      </c>
      <c r="E19" s="19">
        <v>11.47</v>
      </c>
      <c r="F19" s="19">
        <v>271.82</v>
      </c>
      <c r="G19" s="19">
        <v>104.07</v>
      </c>
      <c r="H19" s="19">
        <v>37.090000000000003</v>
      </c>
      <c r="I19" s="19">
        <v>2338.4699999999998</v>
      </c>
      <c r="J19" s="19">
        <v>0</v>
      </c>
      <c r="K19" s="19">
        <v>199.49</v>
      </c>
      <c r="L19" s="19">
        <v>1908.04</v>
      </c>
      <c r="M19" s="51">
        <v>74.569999999999993</v>
      </c>
      <c r="N19" s="60">
        <v>6099</v>
      </c>
      <c r="O19" s="19">
        <v>4682.78</v>
      </c>
      <c r="P19" s="22">
        <f t="shared" si="0"/>
        <v>0.30243146165312074</v>
      </c>
    </row>
    <row r="20" spans="1:16">
      <c r="A20" s="49" t="s">
        <v>30</v>
      </c>
      <c r="B20" s="50">
        <v>2194.5700000000002</v>
      </c>
      <c r="C20" s="19">
        <v>1364.62</v>
      </c>
      <c r="D20" s="19">
        <v>141.44999999999999</v>
      </c>
      <c r="E20" s="19">
        <v>181.01</v>
      </c>
      <c r="F20" s="19">
        <v>1684.23</v>
      </c>
      <c r="G20" s="19">
        <v>8698.52</v>
      </c>
      <c r="H20" s="19">
        <v>542.22</v>
      </c>
      <c r="I20" s="19">
        <v>8905.4</v>
      </c>
      <c r="J20" s="19">
        <v>7857.18</v>
      </c>
      <c r="K20" s="19">
        <v>7630.95</v>
      </c>
      <c r="L20" s="19">
        <v>24384.45</v>
      </c>
      <c r="M20" s="51">
        <v>4710.41</v>
      </c>
      <c r="N20" s="60">
        <v>69190</v>
      </c>
      <c r="O20" s="19">
        <v>51914.16</v>
      </c>
      <c r="P20" s="22">
        <f t="shared" si="0"/>
        <v>0.33277703039016715</v>
      </c>
    </row>
    <row r="21" spans="1:16">
      <c r="A21" s="49" t="s">
        <v>31</v>
      </c>
      <c r="B21" s="50">
        <v>388478.9</v>
      </c>
      <c r="C21" s="19">
        <v>467318.55</v>
      </c>
      <c r="D21" s="19">
        <v>710695.05</v>
      </c>
      <c r="E21" s="19">
        <v>1966814.22</v>
      </c>
      <c r="F21" s="19">
        <v>845655.15</v>
      </c>
      <c r="G21" s="19">
        <v>763263.49</v>
      </c>
      <c r="H21" s="19">
        <v>522899</v>
      </c>
      <c r="I21" s="19">
        <v>729158.32</v>
      </c>
      <c r="J21" s="19">
        <v>511323</v>
      </c>
      <c r="K21" s="19">
        <v>667447.74</v>
      </c>
      <c r="L21" s="19">
        <v>668554.37</v>
      </c>
      <c r="M21" s="51">
        <v>575432.26</v>
      </c>
      <c r="N21" s="60">
        <v>8994658</v>
      </c>
      <c r="O21" s="19">
        <v>7292370.0099999998</v>
      </c>
      <c r="P21" s="22">
        <f t="shared" si="0"/>
        <v>0.23343412191998758</v>
      </c>
    </row>
    <row r="22" spans="1:16">
      <c r="A22" s="49" t="s">
        <v>45</v>
      </c>
      <c r="B22" s="50">
        <v>4066.84</v>
      </c>
      <c r="C22" s="19">
        <v>21255.360000000001</v>
      </c>
      <c r="D22" s="19">
        <v>1592.05</v>
      </c>
      <c r="E22" s="19">
        <v>3035.81</v>
      </c>
      <c r="F22" s="19">
        <v>17676.27</v>
      </c>
      <c r="G22" s="19">
        <v>7577.16</v>
      </c>
      <c r="H22" s="19">
        <v>12926.08</v>
      </c>
      <c r="I22" s="19">
        <v>62910.14</v>
      </c>
      <c r="J22" s="19">
        <v>6264.1</v>
      </c>
      <c r="K22" s="19">
        <v>24846.06</v>
      </c>
      <c r="L22" s="19">
        <v>46290.239999999998</v>
      </c>
      <c r="M22" s="51">
        <v>10318.459999999999</v>
      </c>
      <c r="N22" s="60">
        <v>221689</v>
      </c>
      <c r="O22" s="19">
        <v>234870.69</v>
      </c>
      <c r="P22" s="22">
        <f t="shared" si="0"/>
        <v>-5.6123179950635871E-2</v>
      </c>
    </row>
    <row r="23" spans="1:16">
      <c r="A23" s="49" t="s">
        <v>32</v>
      </c>
      <c r="B23" s="50">
        <v>1951.69</v>
      </c>
      <c r="C23" s="19">
        <v>7097.25</v>
      </c>
      <c r="D23" s="19">
        <v>1194.1099999999999</v>
      </c>
      <c r="E23" s="19">
        <v>726.04</v>
      </c>
      <c r="F23" s="19">
        <v>4179.49</v>
      </c>
      <c r="G23" s="19">
        <v>2612.84</v>
      </c>
      <c r="H23" s="19">
        <v>1112.81</v>
      </c>
      <c r="I23" s="19">
        <v>10936.52</v>
      </c>
      <c r="J23" s="19">
        <v>2220.21</v>
      </c>
      <c r="K23" s="19">
        <v>2285.2800000000002</v>
      </c>
      <c r="L23" s="19">
        <v>8847.39</v>
      </c>
      <c r="M23" s="51">
        <v>1198.94</v>
      </c>
      <c r="N23" s="60">
        <v>45238</v>
      </c>
      <c r="O23" s="19">
        <v>45243.519999999997</v>
      </c>
      <c r="P23" s="22">
        <f t="shared" si="0"/>
        <v>-1.2200642213511248E-4</v>
      </c>
    </row>
    <row r="24" spans="1:16">
      <c r="A24" s="49" t="s">
        <v>33</v>
      </c>
      <c r="B24" s="50">
        <v>3301.31</v>
      </c>
      <c r="C24" s="19">
        <v>25852.5</v>
      </c>
      <c r="D24" s="19">
        <v>4133.87</v>
      </c>
      <c r="E24" s="19">
        <v>1203.97</v>
      </c>
      <c r="F24" s="19">
        <v>25265.14</v>
      </c>
      <c r="G24" s="19">
        <v>3170.57</v>
      </c>
      <c r="H24" s="19">
        <v>8983.2199999999993</v>
      </c>
      <c r="I24" s="19">
        <v>51593.31</v>
      </c>
      <c r="J24" s="19">
        <v>4585.12</v>
      </c>
      <c r="K24" s="19">
        <v>8719.92</v>
      </c>
      <c r="L24" s="19">
        <v>59645.72</v>
      </c>
      <c r="M24" s="51">
        <v>5835.3</v>
      </c>
      <c r="N24" s="60">
        <v>202270</v>
      </c>
      <c r="O24" s="19">
        <v>175767.82</v>
      </c>
      <c r="P24" s="22">
        <f t="shared" si="0"/>
        <v>0.15077947715344031</v>
      </c>
    </row>
    <row r="25" spans="1:16">
      <c r="A25" s="49" t="s">
        <v>34</v>
      </c>
      <c r="B25" s="50">
        <v>50519.74</v>
      </c>
      <c r="C25" s="19">
        <v>363249.62</v>
      </c>
      <c r="D25" s="19">
        <v>485632.53</v>
      </c>
      <c r="E25" s="19">
        <v>916131.69</v>
      </c>
      <c r="F25" s="19">
        <v>543153.74</v>
      </c>
      <c r="G25" s="19">
        <v>313148.08</v>
      </c>
      <c r="H25" s="19">
        <v>55651.58</v>
      </c>
      <c r="I25" s="19">
        <v>110194.03</v>
      </c>
      <c r="J25" s="19">
        <v>141136.32999999999</v>
      </c>
      <c r="K25" s="19">
        <v>122950.78</v>
      </c>
      <c r="L25" s="19">
        <v>84840.53</v>
      </c>
      <c r="M25" s="51">
        <v>94655.49</v>
      </c>
      <c r="N25" s="60">
        <v>3423351</v>
      </c>
      <c r="O25" s="19">
        <v>3236299.53</v>
      </c>
      <c r="P25" s="22">
        <f t="shared" si="0"/>
        <v>5.7797947398274374E-2</v>
      </c>
    </row>
    <row r="26" spans="1:16">
      <c r="A26" s="49" t="s">
        <v>35</v>
      </c>
      <c r="B26" s="50">
        <v>2926.23</v>
      </c>
      <c r="C26" s="19">
        <v>18076.189999999999</v>
      </c>
      <c r="D26" s="19">
        <v>1597.73</v>
      </c>
      <c r="E26" s="19">
        <v>4794.6899999999996</v>
      </c>
      <c r="F26" s="19">
        <v>20401.63</v>
      </c>
      <c r="G26" s="19">
        <v>3230.37</v>
      </c>
      <c r="H26" s="19">
        <v>3901.21</v>
      </c>
      <c r="I26" s="19">
        <v>25675.73</v>
      </c>
      <c r="J26" s="19">
        <v>4179.62</v>
      </c>
      <c r="K26" s="19">
        <v>5838.31</v>
      </c>
      <c r="L26" s="19">
        <v>32803.32</v>
      </c>
      <c r="M26" s="51">
        <v>3283.04</v>
      </c>
      <c r="N26" s="60">
        <v>128295</v>
      </c>
      <c r="O26" s="19">
        <v>127395.83</v>
      </c>
      <c r="P26" s="22">
        <f t="shared" si="0"/>
        <v>7.0580803155015914E-3</v>
      </c>
    </row>
    <row r="27" spans="1:16">
      <c r="A27" s="49" t="s">
        <v>36</v>
      </c>
      <c r="B27" s="50">
        <v>4684.17</v>
      </c>
      <c r="C27" s="19">
        <v>15529.78</v>
      </c>
      <c r="D27" s="19">
        <v>2910.45</v>
      </c>
      <c r="E27" s="19">
        <v>5109.53</v>
      </c>
      <c r="F27" s="19">
        <v>13043.99</v>
      </c>
      <c r="G27" s="19">
        <v>8761.75</v>
      </c>
      <c r="H27" s="19">
        <v>9481.0300000000007</v>
      </c>
      <c r="I27" s="19">
        <v>34188.29</v>
      </c>
      <c r="J27" s="19">
        <v>12733.6</v>
      </c>
      <c r="K27" s="19">
        <v>13201.01</v>
      </c>
      <c r="L27" s="19">
        <v>34620.660000000003</v>
      </c>
      <c r="M27" s="51">
        <v>6631.25</v>
      </c>
      <c r="N27" s="60">
        <v>162547</v>
      </c>
      <c r="O27" s="19">
        <v>160068</v>
      </c>
      <c r="P27" s="22">
        <f t="shared" si="0"/>
        <v>1.5487167953619707E-2</v>
      </c>
    </row>
    <row r="28" spans="1:16">
      <c r="A28" s="49" t="s">
        <v>37</v>
      </c>
      <c r="B28" s="50">
        <v>56277</v>
      </c>
      <c r="C28" s="19">
        <v>99615.05</v>
      </c>
      <c r="D28" s="19">
        <v>60039.96</v>
      </c>
      <c r="E28" s="19">
        <v>156953.39000000001</v>
      </c>
      <c r="F28" s="19">
        <v>72051.23</v>
      </c>
      <c r="G28" s="19">
        <v>81488.86</v>
      </c>
      <c r="H28" s="19">
        <v>64180.79</v>
      </c>
      <c r="I28" s="19">
        <v>130777.29</v>
      </c>
      <c r="J28" s="19">
        <v>79309.66</v>
      </c>
      <c r="K28" s="19">
        <v>94059.49</v>
      </c>
      <c r="L28" s="19">
        <v>104239.64</v>
      </c>
      <c r="M28" s="51">
        <v>66730.14</v>
      </c>
      <c r="N28" s="60">
        <v>1060436</v>
      </c>
      <c r="O28" s="19">
        <v>931364.95</v>
      </c>
      <c r="P28" s="22">
        <f t="shared" si="0"/>
        <v>0.13858267910983768</v>
      </c>
    </row>
    <row r="29" spans="1:16">
      <c r="A29" s="49" t="s">
        <v>38</v>
      </c>
      <c r="B29" s="50">
        <v>6662.79</v>
      </c>
      <c r="C29" s="19">
        <v>19856.02</v>
      </c>
      <c r="D29" s="19">
        <v>15289.63</v>
      </c>
      <c r="E29" s="19">
        <v>47482.98</v>
      </c>
      <c r="F29" s="19">
        <v>26350.36</v>
      </c>
      <c r="G29" s="19">
        <v>6421.25</v>
      </c>
      <c r="H29" s="19">
        <v>9711.9</v>
      </c>
      <c r="I29" s="19">
        <v>33423.53</v>
      </c>
      <c r="J29" s="19">
        <v>16422.23</v>
      </c>
      <c r="K29" s="19">
        <v>26129.37</v>
      </c>
      <c r="L29" s="19">
        <v>24773.86</v>
      </c>
      <c r="M29" s="51">
        <v>13514.12</v>
      </c>
      <c r="N29" s="60">
        <v>249980</v>
      </c>
      <c r="O29" s="19">
        <v>209442.98</v>
      </c>
      <c r="P29" s="22">
        <f t="shared" si="0"/>
        <v>0.19354680686838965</v>
      </c>
    </row>
    <row r="30" spans="1:16">
      <c r="A30" s="49" t="s">
        <v>39</v>
      </c>
      <c r="B30" s="50">
        <v>58375.66</v>
      </c>
      <c r="C30" s="19">
        <v>98333.83</v>
      </c>
      <c r="D30" s="19">
        <v>54866.28</v>
      </c>
      <c r="E30" s="19">
        <v>54917.5</v>
      </c>
      <c r="F30" s="19">
        <v>144065.41</v>
      </c>
      <c r="G30" s="19">
        <v>117272.97</v>
      </c>
      <c r="H30" s="19">
        <v>82922.73</v>
      </c>
      <c r="I30" s="19">
        <v>217281.23</v>
      </c>
      <c r="J30" s="19">
        <v>67095.009999999995</v>
      </c>
      <c r="K30" s="19">
        <v>94496.39</v>
      </c>
      <c r="L30" s="19">
        <v>183518.99</v>
      </c>
      <c r="M30" s="51">
        <v>90404.54</v>
      </c>
      <c r="N30" s="60">
        <v>1296178</v>
      </c>
      <c r="O30" s="19">
        <v>1130475.97</v>
      </c>
      <c r="P30" s="22">
        <f t="shared" si="0"/>
        <v>0.14657722445882682</v>
      </c>
    </row>
    <row r="31" spans="1:16">
      <c r="A31" s="49" t="s">
        <v>40</v>
      </c>
      <c r="B31" s="50">
        <v>1154.1500000000001</v>
      </c>
      <c r="C31" s="19">
        <v>12556.42</v>
      </c>
      <c r="D31" s="19">
        <v>360.22</v>
      </c>
      <c r="E31" s="19">
        <v>686.76</v>
      </c>
      <c r="F31" s="19">
        <v>6269.88</v>
      </c>
      <c r="G31" s="19">
        <v>1202.0899999999999</v>
      </c>
      <c r="H31" s="19">
        <v>2431.9899999999998</v>
      </c>
      <c r="I31" s="19">
        <v>25642.04</v>
      </c>
      <c r="J31" s="19">
        <v>1839.63</v>
      </c>
      <c r="K31" s="19">
        <v>1827.25</v>
      </c>
      <c r="L31" s="19">
        <v>29420.29</v>
      </c>
      <c r="M31" s="51">
        <v>2014.28</v>
      </c>
      <c r="N31" s="60">
        <v>86763</v>
      </c>
      <c r="O31" s="19">
        <v>83625.3</v>
      </c>
      <c r="P31" s="22">
        <f t="shared" si="0"/>
        <v>3.7520941628908844E-2</v>
      </c>
    </row>
    <row r="32" spans="1:16" ht="13" thickBot="1">
      <c r="A32" s="53" t="s">
        <v>41</v>
      </c>
      <c r="B32" s="54">
        <v>30469.57</v>
      </c>
      <c r="C32" s="20">
        <v>39117.08</v>
      </c>
      <c r="D32" s="20">
        <v>39262.14</v>
      </c>
      <c r="E32" s="20">
        <v>104506.12</v>
      </c>
      <c r="F32" s="20">
        <v>69876.95</v>
      </c>
      <c r="G32" s="20">
        <v>53361.31</v>
      </c>
      <c r="H32" s="20">
        <v>28084.61</v>
      </c>
      <c r="I32" s="20">
        <v>64652.49</v>
      </c>
      <c r="J32" s="20">
        <v>39698.730000000003</v>
      </c>
      <c r="K32" s="20">
        <v>41594.71</v>
      </c>
      <c r="L32" s="20">
        <v>50205</v>
      </c>
      <c r="M32" s="55">
        <v>25614.07</v>
      </c>
      <c r="N32" s="61">
        <v>586481</v>
      </c>
      <c r="O32" s="20">
        <v>493283.15</v>
      </c>
      <c r="P32" s="21">
        <f t="shared" si="0"/>
        <v>0.18893377971657865</v>
      </c>
    </row>
    <row r="33" spans="1:16" ht="14" thickTop="1" thickBot="1">
      <c r="A33" s="56" t="s">
        <v>54</v>
      </c>
      <c r="B33" s="57">
        <f>SUM(B4:B32)</f>
        <v>699690.18000000017</v>
      </c>
      <c r="C33" s="58">
        <f t="shared" ref="C33:L33" si="1">SUM(C4:C32)</f>
        <v>1367209.1</v>
      </c>
      <c r="D33" s="58">
        <f t="shared" si="1"/>
        <v>1464369.2299999997</v>
      </c>
      <c r="E33" s="58">
        <f t="shared" si="1"/>
        <v>3460479.71</v>
      </c>
      <c r="F33" s="58">
        <f t="shared" si="1"/>
        <v>2027429.5199999998</v>
      </c>
      <c r="G33" s="58">
        <f t="shared" si="1"/>
        <v>1526041.8800000004</v>
      </c>
      <c r="H33" s="58">
        <f t="shared" si="1"/>
        <v>1007306.01</v>
      </c>
      <c r="I33" s="58">
        <f t="shared" si="1"/>
        <v>1933375.4</v>
      </c>
      <c r="J33" s="58">
        <f t="shared" si="1"/>
        <v>1086763.3499999999</v>
      </c>
      <c r="K33" s="58">
        <f t="shared" si="1"/>
        <v>1317028.6000000001</v>
      </c>
      <c r="L33" s="58">
        <f t="shared" si="1"/>
        <v>1815464.93</v>
      </c>
      <c r="M33" s="59">
        <f>SUM(M4:M32)</f>
        <v>1037137.43</v>
      </c>
      <c r="N33" s="62">
        <f>SUM(N4:N32)</f>
        <v>20001559</v>
      </c>
      <c r="O33" s="63">
        <f>SUM(O4:O32)</f>
        <v>16440587.639999999</v>
      </c>
      <c r="P33" s="64">
        <f t="shared" si="0"/>
        <v>0.21659635518964948</v>
      </c>
    </row>
    <row r="36" spans="1:16" ht="21">
      <c r="A36" s="691" t="s">
        <v>48</v>
      </c>
      <c r="B36" s="691"/>
      <c r="C36" s="691"/>
      <c r="D36" s="691"/>
      <c r="E36" s="691"/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</row>
    <row r="37" spans="1:16" ht="13" thickBot="1">
      <c r="A37" s="47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6" ht="13" thickBot="1">
      <c r="A38" s="5" t="s">
        <v>42</v>
      </c>
      <c r="B38" s="7" t="s">
        <v>2</v>
      </c>
      <c r="C38" s="6" t="s">
        <v>3</v>
      </c>
      <c r="D38" s="6" t="s">
        <v>4</v>
      </c>
      <c r="E38" s="6" t="s">
        <v>5</v>
      </c>
      <c r="F38" s="6" t="s">
        <v>6</v>
      </c>
      <c r="G38" s="6" t="s">
        <v>7</v>
      </c>
      <c r="H38" s="6" t="s">
        <v>8</v>
      </c>
      <c r="I38" s="6" t="s">
        <v>9</v>
      </c>
      <c r="J38" s="6" t="s">
        <v>10</v>
      </c>
      <c r="K38" s="6" t="s">
        <v>11</v>
      </c>
      <c r="L38" s="6" t="s">
        <v>12</v>
      </c>
      <c r="M38" s="8" t="s">
        <v>13</v>
      </c>
      <c r="N38" s="52" t="s">
        <v>14</v>
      </c>
      <c r="O38" s="6" t="s">
        <v>15</v>
      </c>
      <c r="P38" s="18" t="s">
        <v>16</v>
      </c>
    </row>
    <row r="39" spans="1:16" s="47" customFormat="1" ht="11" thickBot="1">
      <c r="A39" s="40" t="s">
        <v>31</v>
      </c>
      <c r="B39" s="41">
        <v>64742.720000000001</v>
      </c>
      <c r="C39" s="42">
        <v>77881.89</v>
      </c>
      <c r="D39" s="42">
        <v>118442.27</v>
      </c>
      <c r="E39" s="42">
        <v>327783.26</v>
      </c>
      <c r="F39" s="42">
        <v>140934.31</v>
      </c>
      <c r="G39" s="42">
        <v>127203.17</v>
      </c>
      <c r="H39" s="42">
        <v>87144.76</v>
      </c>
      <c r="I39" s="42">
        <v>121519.31</v>
      </c>
      <c r="J39" s="42">
        <v>85215.54</v>
      </c>
      <c r="K39" s="42">
        <v>111234.81</v>
      </c>
      <c r="L39" s="42">
        <v>111419.23</v>
      </c>
      <c r="M39" s="43">
        <v>95899.79</v>
      </c>
      <c r="N39" s="74">
        <f>SUM(B39:M39)</f>
        <v>1469421.06</v>
      </c>
      <c r="O39" s="44">
        <f>(O21/0.03)*0.005</f>
        <v>1215395.0016666667</v>
      </c>
      <c r="P39" s="75">
        <f>N39/O39-1</f>
        <v>0.20900699606711259</v>
      </c>
    </row>
    <row r="40" spans="1:16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</sheetData>
  <mergeCells count="2">
    <mergeCell ref="A1:P1"/>
    <mergeCell ref="A36:P36"/>
  </mergeCells>
  <phoneticPr fontId="0" type="noConversion"/>
  <pageMargins left="0.5" right="0.5" top="0.75" bottom="0.5" header="0.5" footer="0.5"/>
  <pageSetup scale="9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 enableFormatConditionsCalculation="0">
    <tabColor rgb="FF7030A0"/>
    <pageSetUpPr fitToPage="1"/>
  </sheetPr>
  <dimension ref="A1:S32"/>
  <sheetViews>
    <sheetView zoomScale="125" zoomScaleNormal="125" zoomScalePageLayoutView="125" workbookViewId="0">
      <pane xSplit="1" topLeftCell="B1" activePane="topRight" state="frozen"/>
      <selection pane="topRight" activeCell="K57" sqref="K57"/>
    </sheetView>
  </sheetViews>
  <sheetFormatPr baseColWidth="10" defaultColWidth="8.83203125" defaultRowHeight="12" x14ac:dyDescent="0"/>
  <cols>
    <col min="1" max="1" width="15.1640625" bestFit="1" customWidth="1"/>
    <col min="2" max="2" width="9.6640625" bestFit="1" customWidth="1"/>
    <col min="3" max="7" width="11" bestFit="1" customWidth="1"/>
    <col min="8" max="9" width="11.1640625" bestFit="1" customWidth="1"/>
    <col min="10" max="10" width="10.83203125" bestFit="1" customWidth="1"/>
    <col min="11" max="13" width="9.6640625" customWidth="1"/>
    <col min="14" max="14" width="12.1640625" bestFit="1" customWidth="1"/>
    <col min="15" max="15" width="11.6640625" bestFit="1" customWidth="1"/>
    <col min="19" max="19" width="13.83203125" bestFit="1" customWidth="1"/>
  </cols>
  <sheetData>
    <row r="1" spans="1:19" ht="17">
      <c r="A1" s="713" t="s">
        <v>364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</row>
    <row r="2" spans="1:19" ht="13" thickBot="1"/>
    <row r="3" spans="1:19" ht="13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252" t="s">
        <v>13</v>
      </c>
      <c r="N3" s="533" t="s">
        <v>359</v>
      </c>
      <c r="O3" s="529" t="s">
        <v>349</v>
      </c>
      <c r="P3" s="526" t="s">
        <v>16</v>
      </c>
      <c r="Q3" s="632" t="s">
        <v>58</v>
      </c>
    </row>
    <row r="4" spans="1:19">
      <c r="A4" s="484" t="s">
        <v>396</v>
      </c>
      <c r="B4" s="664">
        <v>1482.61</v>
      </c>
      <c r="C4" s="664">
        <v>520.55999999999995</v>
      </c>
      <c r="D4" s="664">
        <v>945.99</v>
      </c>
      <c r="E4" s="665">
        <v>1978.14</v>
      </c>
      <c r="F4" s="664">
        <v>1552.26</v>
      </c>
      <c r="G4" s="664">
        <v>1343.56</v>
      </c>
      <c r="H4" s="664">
        <v>5059.0600000000004</v>
      </c>
      <c r="I4" s="664">
        <v>6265.39</v>
      </c>
      <c r="J4" s="664">
        <v>3274.43</v>
      </c>
      <c r="K4" s="664"/>
      <c r="L4" s="664"/>
      <c r="M4" s="666"/>
      <c r="N4" s="534">
        <f>SUM(B4:M4)</f>
        <v>22422</v>
      </c>
      <c r="O4" s="651">
        <f>SUM('RC 2016'!B4:J4)</f>
        <v>12122.300000000001</v>
      </c>
      <c r="P4" s="636">
        <f t="shared" ref="P4:P21" si="0">N4/O4-1</f>
        <v>0.84964899400278804</v>
      </c>
      <c r="Q4" s="566">
        <f>N4/$N$22</f>
        <v>1.13483243020404E-3</v>
      </c>
    </row>
    <row r="5" spans="1:19">
      <c r="A5" s="483" t="s">
        <v>397</v>
      </c>
      <c r="B5" s="39">
        <v>20364.2</v>
      </c>
      <c r="C5" s="39">
        <v>28290.04</v>
      </c>
      <c r="D5" s="39">
        <v>17450.919999999998</v>
      </c>
      <c r="E5" s="39">
        <v>19039.490000000002</v>
      </c>
      <c r="F5" s="39">
        <v>37054.03</v>
      </c>
      <c r="G5" s="39">
        <v>33676.89</v>
      </c>
      <c r="H5" s="39">
        <v>40886.74</v>
      </c>
      <c r="I5" s="39">
        <v>57641.2</v>
      </c>
      <c r="J5" s="39">
        <v>42183.37</v>
      </c>
      <c r="K5" s="39"/>
      <c r="L5" s="39"/>
      <c r="M5" s="375"/>
      <c r="N5" s="535">
        <f>SUM(B5:M5)</f>
        <v>296586.88</v>
      </c>
      <c r="O5" s="651">
        <f>SUM('RC 2016'!B5:J5)</f>
        <v>283096.71999999997</v>
      </c>
      <c r="P5" s="636">
        <f t="shared" si="0"/>
        <v>4.765212398080787E-2</v>
      </c>
      <c r="Q5" s="566">
        <f>N5/$N$22</f>
        <v>1.5010989643967266E-2</v>
      </c>
      <c r="S5" s="117"/>
    </row>
    <row r="6" spans="1:19">
      <c r="A6" s="483" t="s">
        <v>398</v>
      </c>
      <c r="B6" s="39">
        <v>2177.5500000000002</v>
      </c>
      <c r="C6" s="39">
        <v>1710.01</v>
      </c>
      <c r="D6" s="39">
        <v>915.11</v>
      </c>
      <c r="E6" s="39">
        <v>1973.3</v>
      </c>
      <c r="F6" s="39">
        <v>4446.92</v>
      </c>
      <c r="G6" s="39">
        <v>3455.51</v>
      </c>
      <c r="H6" s="39">
        <v>5174</v>
      </c>
      <c r="I6" s="39">
        <v>8468.07</v>
      </c>
      <c r="J6" s="39">
        <v>3734.19</v>
      </c>
      <c r="K6" s="39"/>
      <c r="L6" s="39"/>
      <c r="M6" s="375"/>
      <c r="N6" s="535">
        <f>SUM(B6:M6)</f>
        <v>32054.66</v>
      </c>
      <c r="O6" s="651">
        <f>SUM('RC 2016'!B6:J6)</f>
        <v>29384.37</v>
      </c>
      <c r="P6" s="636">
        <f t="shared" si="0"/>
        <v>9.0874502328959217E-2</v>
      </c>
      <c r="Q6" s="566">
        <f t="shared" ref="Q6:Q22" si="1">N6/$N$22</f>
        <v>1.6223649856018302E-3</v>
      </c>
      <c r="S6" s="117"/>
    </row>
    <row r="7" spans="1:19">
      <c r="A7" s="483" t="s">
        <v>399</v>
      </c>
      <c r="B7" s="39">
        <v>16572.099999999999</v>
      </c>
      <c r="C7" s="39">
        <v>10544.2</v>
      </c>
      <c r="D7" s="39">
        <v>7401.77</v>
      </c>
      <c r="E7" s="39">
        <v>9838.89</v>
      </c>
      <c r="F7" s="39">
        <v>19402.14</v>
      </c>
      <c r="G7" s="39">
        <v>39921.730000000003</v>
      </c>
      <c r="H7" s="39">
        <v>54304.93</v>
      </c>
      <c r="I7" s="39">
        <v>58909.67</v>
      </c>
      <c r="J7" s="39">
        <v>61121.760000000002</v>
      </c>
      <c r="K7" s="39"/>
      <c r="L7" s="39"/>
      <c r="M7" s="375"/>
      <c r="N7" s="535">
        <f t="shared" ref="N7:N20" si="2">SUM(B7:M7)</f>
        <v>278017.19</v>
      </c>
      <c r="O7" s="651">
        <f>SUM('RC 2016'!B7:J7)</f>
        <v>257210.98</v>
      </c>
      <c r="P7" s="636">
        <f t="shared" si="0"/>
        <v>8.0891608904098744E-2</v>
      </c>
      <c r="Q7" s="566">
        <f t="shared" si="1"/>
        <v>1.4071132074132476E-2</v>
      </c>
      <c r="S7" s="117"/>
    </row>
    <row r="8" spans="1:19">
      <c r="A8" s="483" t="s">
        <v>400</v>
      </c>
      <c r="B8" s="268">
        <v>5830.6</v>
      </c>
      <c r="C8" s="39">
        <v>8712.7000000000007</v>
      </c>
      <c r="D8" s="39">
        <v>5366.41</v>
      </c>
      <c r="E8" s="39">
        <v>6014.76</v>
      </c>
      <c r="F8" s="39">
        <v>8609.51</v>
      </c>
      <c r="G8" s="39">
        <v>7628.7</v>
      </c>
      <c r="H8" s="39">
        <v>9696.27</v>
      </c>
      <c r="I8" s="39">
        <v>20101.46</v>
      </c>
      <c r="J8" s="39">
        <v>8557.34</v>
      </c>
      <c r="K8" s="39"/>
      <c r="L8" s="39"/>
      <c r="M8" s="375"/>
      <c r="N8" s="535">
        <f t="shared" si="2"/>
        <v>80517.75</v>
      </c>
      <c r="O8" s="651">
        <f>SUM('RC 2016'!B8:J8)</f>
        <v>65849.209999999992</v>
      </c>
      <c r="P8" s="636">
        <f t="shared" si="0"/>
        <v>0.22275954411601906</v>
      </c>
      <c r="Q8" s="566">
        <f t="shared" si="1"/>
        <v>4.0752008699964926E-3</v>
      </c>
      <c r="S8" s="117"/>
    </row>
    <row r="9" spans="1:19">
      <c r="A9" s="483" t="s">
        <v>401</v>
      </c>
      <c r="B9" s="39">
        <v>12693.61</v>
      </c>
      <c r="C9" s="39">
        <v>14120.26</v>
      </c>
      <c r="D9" s="39">
        <v>7469.64</v>
      </c>
      <c r="E9" s="39">
        <v>9325.1200000000008</v>
      </c>
      <c r="F9" s="39">
        <v>14744</v>
      </c>
      <c r="G9" s="39">
        <v>11946.02</v>
      </c>
      <c r="H9" s="39">
        <v>16689.849999999999</v>
      </c>
      <c r="I9" s="39">
        <v>33986.559999999998</v>
      </c>
      <c r="J9" s="39">
        <v>17468.09</v>
      </c>
      <c r="K9" s="39"/>
      <c r="L9" s="39"/>
      <c r="M9" s="375"/>
      <c r="N9" s="535">
        <f t="shared" si="2"/>
        <v>138443.15</v>
      </c>
      <c r="O9" s="651">
        <f>SUM('RC 2016'!B9:J9)</f>
        <v>132052.74</v>
      </c>
      <c r="P9" s="636">
        <f t="shared" si="0"/>
        <v>4.8392861821723754E-2</v>
      </c>
      <c r="Q9" s="566">
        <f t="shared" si="1"/>
        <v>7.0069474783517284E-3</v>
      </c>
      <c r="S9" s="117"/>
    </row>
    <row r="10" spans="1:19">
      <c r="A10" s="483" t="s">
        <v>402</v>
      </c>
      <c r="B10" s="39">
        <v>4635.17</v>
      </c>
      <c r="C10" s="39">
        <v>2922.75</v>
      </c>
      <c r="D10" s="39">
        <v>2134.81</v>
      </c>
      <c r="E10" s="39">
        <v>3599.14</v>
      </c>
      <c r="F10" s="39">
        <v>5114.6899999999996</v>
      </c>
      <c r="G10" s="39">
        <v>7464.24</v>
      </c>
      <c r="H10" s="39">
        <v>13036.09</v>
      </c>
      <c r="I10" s="39">
        <v>18455.47</v>
      </c>
      <c r="J10" s="39">
        <v>9990.7800000000007</v>
      </c>
      <c r="K10" s="39"/>
      <c r="L10" s="39"/>
      <c r="M10" s="375"/>
      <c r="N10" s="535">
        <f t="shared" si="2"/>
        <v>67353.14</v>
      </c>
      <c r="O10" s="651">
        <f>SUM('RC 2016'!B10:J10)</f>
        <v>64490.96</v>
      </c>
      <c r="P10" s="636">
        <f t="shared" si="0"/>
        <v>4.438110395627537E-2</v>
      </c>
      <c r="Q10" s="566">
        <f t="shared" si="1"/>
        <v>3.4089076598016656E-3</v>
      </c>
      <c r="S10" s="117"/>
    </row>
    <row r="11" spans="1:19">
      <c r="A11" s="483" t="s">
        <v>403</v>
      </c>
      <c r="B11" s="39">
        <v>221840.30000000002</v>
      </c>
      <c r="C11" s="39">
        <v>192379.94</v>
      </c>
      <c r="D11" s="39">
        <v>129383.32</v>
      </c>
      <c r="E11" s="39">
        <v>206112.46</v>
      </c>
      <c r="F11" s="39">
        <v>363586.12</v>
      </c>
      <c r="G11" s="39">
        <v>394048.6</v>
      </c>
      <c r="H11" s="39">
        <v>438615.19</v>
      </c>
      <c r="I11" s="39">
        <v>508935.39999999898</v>
      </c>
      <c r="J11" s="39">
        <v>352397.66</v>
      </c>
      <c r="K11" s="39"/>
      <c r="L11" s="39"/>
      <c r="M11" s="375"/>
      <c r="N11" s="535">
        <f t="shared" si="2"/>
        <v>2807298.9899999993</v>
      </c>
      <c r="O11" s="651">
        <f>SUM('RC 2016'!B11:J11)</f>
        <v>2471060.5299999998</v>
      </c>
      <c r="P11" s="636">
        <f t="shared" si="0"/>
        <v>0.13607050734609061</v>
      </c>
      <c r="Q11" s="566">
        <f t="shared" si="1"/>
        <v>0.1420842893199111</v>
      </c>
      <c r="S11" s="117"/>
    </row>
    <row r="12" spans="1:19">
      <c r="A12" s="483" t="s">
        <v>404</v>
      </c>
      <c r="B12" s="39">
        <v>17591.25</v>
      </c>
      <c r="C12" s="39">
        <v>84907.010000000009</v>
      </c>
      <c r="D12" s="39">
        <v>61073.02</v>
      </c>
      <c r="E12" s="39">
        <v>59661.97</v>
      </c>
      <c r="F12" s="39">
        <v>55398.42</v>
      </c>
      <c r="G12" s="39">
        <v>25363.43</v>
      </c>
      <c r="H12" s="39">
        <v>5278.26</v>
      </c>
      <c r="I12" s="39">
        <v>15427.06</v>
      </c>
      <c r="J12" s="39">
        <v>8995.26</v>
      </c>
      <c r="K12" s="39"/>
      <c r="L12" s="39"/>
      <c r="M12" s="375"/>
      <c r="N12" s="535">
        <f t="shared" si="2"/>
        <v>333695.68</v>
      </c>
      <c r="O12" s="651">
        <f>SUM('RC 2016'!B12:J12)</f>
        <v>301530.78999999998</v>
      </c>
      <c r="P12" s="636">
        <f t="shared" si="0"/>
        <v>0.10667199193820309</v>
      </c>
      <c r="Q12" s="566">
        <f t="shared" si="1"/>
        <v>1.6889157054811779E-2</v>
      </c>
      <c r="S12" s="117"/>
    </row>
    <row r="13" spans="1:19">
      <c r="A13" s="483" t="s">
        <v>405</v>
      </c>
      <c r="B13" s="39">
        <v>41839.75</v>
      </c>
      <c r="C13" s="39">
        <v>52520.94</v>
      </c>
      <c r="D13" s="39">
        <v>32368.67</v>
      </c>
      <c r="E13" s="39">
        <v>41590.99</v>
      </c>
      <c r="F13" s="39">
        <v>62506.46</v>
      </c>
      <c r="G13" s="39">
        <v>62937.58</v>
      </c>
      <c r="H13" s="39">
        <v>64608.56</v>
      </c>
      <c r="I13" s="39">
        <v>109817.28</v>
      </c>
      <c r="J13" s="39">
        <v>69138.960000000006</v>
      </c>
      <c r="K13" s="39"/>
      <c r="L13" s="39"/>
      <c r="M13" s="375"/>
      <c r="N13" s="535">
        <f t="shared" si="2"/>
        <v>537329.18999999994</v>
      </c>
      <c r="O13" s="651">
        <f>SUM('RC 2016'!B13:J13)</f>
        <v>467645.97000000009</v>
      </c>
      <c r="P13" s="636">
        <f t="shared" si="0"/>
        <v>0.14900849033297536</v>
      </c>
      <c r="Q13" s="566">
        <f t="shared" si="1"/>
        <v>2.7195548590994038E-2</v>
      </c>
      <c r="S13" s="117"/>
    </row>
    <row r="14" spans="1:19">
      <c r="A14" s="483" t="s">
        <v>406</v>
      </c>
      <c r="B14" s="39">
        <v>7400.43</v>
      </c>
      <c r="C14" s="39">
        <v>7315.1</v>
      </c>
      <c r="D14" s="39">
        <v>4111.08</v>
      </c>
      <c r="E14" s="39">
        <v>5623.13</v>
      </c>
      <c r="F14" s="39">
        <v>7964.87</v>
      </c>
      <c r="G14" s="39">
        <v>8833.9500000000007</v>
      </c>
      <c r="H14" s="39">
        <v>11666.6</v>
      </c>
      <c r="I14" s="39">
        <v>17766.46</v>
      </c>
      <c r="J14" s="39">
        <v>11571.37</v>
      </c>
      <c r="K14" s="39"/>
      <c r="L14" s="39"/>
      <c r="M14" s="375"/>
      <c r="N14" s="535">
        <f t="shared" si="2"/>
        <v>82252.989999999991</v>
      </c>
      <c r="O14" s="651">
        <f>SUM('RC 2016'!B14:J14)</f>
        <v>72633.440000000002</v>
      </c>
      <c r="P14" s="636">
        <f t="shared" si="0"/>
        <v>0.13243968618311319</v>
      </c>
      <c r="Q14" s="566">
        <f t="shared" si="1"/>
        <v>4.1630256236396667E-3</v>
      </c>
      <c r="S14" s="117"/>
    </row>
    <row r="15" spans="1:19">
      <c r="A15" s="483" t="s">
        <v>407</v>
      </c>
      <c r="B15" s="39">
        <v>7948.7199999999993</v>
      </c>
      <c r="C15" s="39">
        <v>23774.35</v>
      </c>
      <c r="D15" s="39">
        <v>11065</v>
      </c>
      <c r="E15" s="39">
        <v>13712.17</v>
      </c>
      <c r="F15" s="39">
        <v>25740.74</v>
      </c>
      <c r="G15" s="39">
        <v>7241.16</v>
      </c>
      <c r="H15" s="39">
        <v>22168.81</v>
      </c>
      <c r="I15" s="39">
        <v>106126.19</v>
      </c>
      <c r="J15" s="39">
        <v>43469.14</v>
      </c>
      <c r="K15" s="39"/>
      <c r="L15" s="39"/>
      <c r="M15" s="375"/>
      <c r="N15" s="535">
        <f t="shared" si="2"/>
        <v>261246.28000000003</v>
      </c>
      <c r="O15" s="651">
        <f>SUM('RC 2016'!B15:J15)</f>
        <v>219563.15999999997</v>
      </c>
      <c r="P15" s="636">
        <f t="shared" si="0"/>
        <v>0.18984569178180921</v>
      </c>
      <c r="Q15" s="566">
        <f t="shared" si="1"/>
        <v>1.3222315173230094E-2</v>
      </c>
      <c r="S15" s="117"/>
    </row>
    <row r="16" spans="1:19">
      <c r="A16" s="483" t="s">
        <v>408</v>
      </c>
      <c r="B16" s="39">
        <v>32938.17</v>
      </c>
      <c r="C16" s="39">
        <v>137487.46</v>
      </c>
      <c r="D16" s="39">
        <v>146366.70000000001</v>
      </c>
      <c r="E16" s="39">
        <v>176638.59</v>
      </c>
      <c r="F16" s="39">
        <v>188320.18</v>
      </c>
      <c r="G16" s="39">
        <v>26699.79</v>
      </c>
      <c r="H16" s="39">
        <v>15195.11</v>
      </c>
      <c r="I16" s="39">
        <v>12328.43</v>
      </c>
      <c r="J16" s="39">
        <v>10573.24</v>
      </c>
      <c r="K16" s="39"/>
      <c r="L16" s="39"/>
      <c r="M16" s="375"/>
      <c r="N16" s="535">
        <f t="shared" si="2"/>
        <v>746547.67000000016</v>
      </c>
      <c r="O16" s="651">
        <f>SUM('RC 2016'!B16:J16)</f>
        <v>782198.76</v>
      </c>
      <c r="P16" s="636">
        <f>N16/O16-1</f>
        <v>-4.5578044639191018E-2</v>
      </c>
      <c r="Q16" s="566">
        <f t="shared" si="1"/>
        <v>3.7784609161058962E-2</v>
      </c>
      <c r="S16" s="117"/>
    </row>
    <row r="17" spans="1:19" ht="12.75" customHeight="1">
      <c r="A17" s="483" t="s">
        <v>409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27">
        <v>0</v>
      </c>
      <c r="J17" s="39">
        <v>0</v>
      </c>
      <c r="K17" s="327"/>
      <c r="L17" s="39"/>
      <c r="M17" s="531"/>
      <c r="N17" s="535">
        <f t="shared" si="2"/>
        <v>0</v>
      </c>
      <c r="O17" s="651">
        <f>SUM('RC 2016'!B17:J17)</f>
        <v>20.3</v>
      </c>
      <c r="P17" s="636">
        <f>N17/O17-1</f>
        <v>-1</v>
      </c>
      <c r="Q17" s="566">
        <f t="shared" si="1"/>
        <v>0</v>
      </c>
      <c r="S17" s="117"/>
    </row>
    <row r="18" spans="1:19">
      <c r="A18" s="483" t="s">
        <v>410</v>
      </c>
      <c r="B18" s="39">
        <v>779577.76</v>
      </c>
      <c r="C18" s="39">
        <v>2063061.2</v>
      </c>
      <c r="D18" s="39">
        <v>2244752.19</v>
      </c>
      <c r="E18" s="39">
        <v>2331118.73</v>
      </c>
      <c r="F18" s="39">
        <v>2227487.6</v>
      </c>
      <c r="G18" s="327">
        <v>610505.88</v>
      </c>
      <c r="H18" s="327">
        <v>475598.99</v>
      </c>
      <c r="I18" s="39">
        <v>888286.77</v>
      </c>
      <c r="J18" s="39">
        <v>895156.27</v>
      </c>
      <c r="K18" s="39"/>
      <c r="L18" s="39"/>
      <c r="M18" s="375"/>
      <c r="N18" s="535">
        <f t="shared" si="2"/>
        <v>12515545.390000001</v>
      </c>
      <c r="O18" s="651">
        <f>SUM('RC 2016'!B18:J18)</f>
        <v>11370060.740000002</v>
      </c>
      <c r="P18" s="636">
        <f t="shared" si="0"/>
        <v>0.10074569311403692</v>
      </c>
      <c r="Q18" s="566">
        <f t="shared" si="1"/>
        <v>0.63344245786560838</v>
      </c>
      <c r="R18" s="611"/>
      <c r="S18" s="117"/>
    </row>
    <row r="19" spans="1:19">
      <c r="A19" s="483" t="s">
        <v>411</v>
      </c>
      <c r="B19" s="39">
        <v>2648.69</v>
      </c>
      <c r="C19" s="39">
        <v>5871.94</v>
      </c>
      <c r="D19" s="39">
        <v>5722.36</v>
      </c>
      <c r="E19" s="39">
        <v>5984.59</v>
      </c>
      <c r="F19" s="39">
        <v>5067.6899999999996</v>
      </c>
      <c r="G19" s="327">
        <v>2983.96</v>
      </c>
      <c r="H19" s="39">
        <v>2328.0100000000002</v>
      </c>
      <c r="I19" s="39">
        <v>7222.57</v>
      </c>
      <c r="J19" s="39">
        <v>4409.82</v>
      </c>
      <c r="K19" s="327"/>
      <c r="L19" s="39"/>
      <c r="M19" s="375"/>
      <c r="N19" s="535">
        <f t="shared" si="2"/>
        <v>42239.63</v>
      </c>
      <c r="O19" s="651">
        <f>SUM('RC 2016'!B19:J19)</f>
        <v>31036.07</v>
      </c>
      <c r="P19" s="636">
        <f t="shared" si="0"/>
        <v>0.36098513761568385</v>
      </c>
      <c r="Q19" s="566">
        <f t="shared" si="1"/>
        <v>2.1378513051386796E-3</v>
      </c>
      <c r="R19" s="612"/>
      <c r="S19" s="117"/>
    </row>
    <row r="20" spans="1:19">
      <c r="A20" s="483" t="s">
        <v>412</v>
      </c>
      <c r="B20" s="39">
        <v>28089.85</v>
      </c>
      <c r="C20" s="39">
        <v>67993.05</v>
      </c>
      <c r="D20" s="39">
        <v>50036.32</v>
      </c>
      <c r="E20" s="39">
        <v>44834.44</v>
      </c>
      <c r="F20" s="39">
        <v>17810.349999999999</v>
      </c>
      <c r="G20" s="327">
        <v>46273.93</v>
      </c>
      <c r="H20" s="39">
        <v>31205.200000000001</v>
      </c>
      <c r="I20" s="39">
        <v>65146.98</v>
      </c>
      <c r="J20" s="39">
        <v>53761.440000000002</v>
      </c>
      <c r="K20" s="327"/>
      <c r="L20" s="39"/>
      <c r="M20" s="375"/>
      <c r="N20" s="535">
        <f t="shared" si="2"/>
        <v>405151.56</v>
      </c>
      <c r="O20" s="651">
        <f>SUM('RC 2016'!B20:J20)</f>
        <v>308263.11</v>
      </c>
      <c r="P20" s="636">
        <f t="shared" si="0"/>
        <v>0.31430439406129396</v>
      </c>
      <c r="Q20" s="566">
        <f t="shared" si="1"/>
        <v>2.0505714451688431E-2</v>
      </c>
      <c r="S20" s="117"/>
    </row>
    <row r="21" spans="1:19" ht="13" thickBot="1">
      <c r="A21" s="275" t="s">
        <v>413</v>
      </c>
      <c r="B21" s="268">
        <v>82294.210000000006</v>
      </c>
      <c r="C21" s="376">
        <v>70386.61</v>
      </c>
      <c r="D21" s="39">
        <v>32327.439999999999</v>
      </c>
      <c r="E21" s="376">
        <v>51233.31</v>
      </c>
      <c r="F21" s="376">
        <v>121799.16</v>
      </c>
      <c r="G21" s="376">
        <v>146723.5</v>
      </c>
      <c r="H21" s="39">
        <v>166214.06</v>
      </c>
      <c r="I21" s="39">
        <v>270370.03000000003</v>
      </c>
      <c r="J21" s="376">
        <v>169932.65</v>
      </c>
      <c r="K21" s="376"/>
      <c r="L21" s="39"/>
      <c r="M21" s="375"/>
      <c r="N21" s="535">
        <f>SUM(B21:M21)</f>
        <v>1111280.97</v>
      </c>
      <c r="O21" s="651">
        <f>SUM('RC 2016'!B21:J21)</f>
        <v>980476.5</v>
      </c>
      <c r="P21" s="641">
        <f t="shared" si="0"/>
        <v>0.13340908221665693</v>
      </c>
      <c r="Q21" s="631">
        <f t="shared" si="1"/>
        <v>5.6244656311863483E-2</v>
      </c>
      <c r="S21" s="117"/>
    </row>
    <row r="22" spans="1:19" ht="13" thickBot="1">
      <c r="A22" s="470" t="s">
        <v>54</v>
      </c>
      <c r="B22" s="610">
        <f>SUM(B4:B21)</f>
        <v>1285924.97</v>
      </c>
      <c r="C22" s="609">
        <f>SUM(C4:C21)</f>
        <v>2772518.1199999996</v>
      </c>
      <c r="D22" s="609">
        <f>SUM(D4:D21)</f>
        <v>2758890.7499999995</v>
      </c>
      <c r="E22" s="609">
        <f t="shared" ref="E22:M22" si="3">SUM(E4:E21)</f>
        <v>2988279.2199999997</v>
      </c>
      <c r="F22" s="609">
        <f t="shared" si="3"/>
        <v>3166605.14</v>
      </c>
      <c r="G22" s="609">
        <f t="shared" si="3"/>
        <v>1437048.43</v>
      </c>
      <c r="H22" s="609">
        <f t="shared" si="3"/>
        <v>1377725.73</v>
      </c>
      <c r="I22" s="609">
        <f>SUM(I4:I21)</f>
        <v>2205254.9899999993</v>
      </c>
      <c r="J22" s="609">
        <f t="shared" si="3"/>
        <v>1765735.7699999998</v>
      </c>
      <c r="K22" s="609">
        <f t="shared" si="3"/>
        <v>0</v>
      </c>
      <c r="L22" s="609">
        <f t="shared" si="3"/>
        <v>0</v>
      </c>
      <c r="M22" s="609">
        <f t="shared" si="3"/>
        <v>0</v>
      </c>
      <c r="N22" s="536">
        <f>SUM(N4:N21)</f>
        <v>19757983.119999997</v>
      </c>
      <c r="O22" s="530">
        <f>SUM(O4:O21)</f>
        <v>17848696.650000002</v>
      </c>
      <c r="P22" s="445">
        <f>N22/O22-1</f>
        <v>0.10697063810538765</v>
      </c>
      <c r="Q22" s="625">
        <f t="shared" si="1"/>
        <v>1</v>
      </c>
      <c r="S22" s="117"/>
    </row>
    <row r="23" spans="1:19" s="222" customFormat="1" ht="13" thickBot="1">
      <c r="A23" s="537" t="s">
        <v>265</v>
      </c>
      <c r="B23" s="538">
        <f>B22/'RC 2016'!B22-1</f>
        <v>0.14163706848705715</v>
      </c>
      <c r="C23" s="538">
        <f>C22/'RC 2016'!C22-1</f>
        <v>2.8552096847135111E-2</v>
      </c>
      <c r="D23" s="538">
        <f>D22/'RC 2016'!D22-1</f>
        <v>8.2055642304503573E-2</v>
      </c>
      <c r="E23" s="538">
        <f>E22/'RC 2016'!E22-1</f>
        <v>0.27910063862420942</v>
      </c>
      <c r="F23" s="538">
        <f>F22/'RC 2016'!F22-1</f>
        <v>-2.6943762412661609E-2</v>
      </c>
      <c r="G23" s="538">
        <f>G22/'RC 2016'!G22-1</f>
        <v>0.23627570944198473</v>
      </c>
      <c r="H23" s="538">
        <f>H22/'RC 2016'!H22-1</f>
        <v>8.2035549116502571E-2</v>
      </c>
      <c r="I23" s="538">
        <f>I22/'RC 2016'!I22-1</f>
        <v>0.1893517541988563</v>
      </c>
      <c r="J23" s="538">
        <f>J22/'RC 2016'!J22-1</f>
        <v>0.10585289834027045</v>
      </c>
      <c r="K23" s="538">
        <f>K22/'RC 2016'!K22-1</f>
        <v>-1</v>
      </c>
      <c r="L23" s="538">
        <f>L22/'RC 2016'!L22-1</f>
        <v>-1</v>
      </c>
      <c r="M23" s="538">
        <f>M22/'RC 2016'!M22-1</f>
        <v>-1</v>
      </c>
      <c r="N23" s="569"/>
      <c r="O23" s="570"/>
      <c r="P23" s="571"/>
      <c r="Q23" s="571"/>
    </row>
    <row r="25" spans="1:19">
      <c r="C25" s="243"/>
      <c r="H25" s="1"/>
      <c r="I25" s="1"/>
    </row>
    <row r="26" spans="1:19">
      <c r="H26" s="243"/>
      <c r="I26" s="1"/>
    </row>
    <row r="27" spans="1:19">
      <c r="A27" s="287"/>
      <c r="H27" s="243"/>
      <c r="I27" s="1"/>
      <c r="N27" s="100"/>
    </row>
    <row r="28" spans="1:19">
      <c r="A28" s="287"/>
      <c r="H28" s="243"/>
      <c r="I28" s="1"/>
    </row>
    <row r="29" spans="1:19">
      <c r="H29" s="243"/>
      <c r="I29" s="1"/>
    </row>
    <row r="30" spans="1:19">
      <c r="H30" s="1"/>
      <c r="I30" s="1"/>
      <c r="S30" s="219"/>
    </row>
    <row r="32" spans="1:19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1">
    <mergeCell ref="A1:Q1"/>
  </mergeCells>
  <conditionalFormatting sqref="P4:P22">
    <cfRule type="cellIs" dxfId="1" priority="1" operator="lessThan">
      <formula>0</formula>
    </cfRule>
  </conditionalFormatting>
  <printOptions horizontalCentered="1"/>
  <pageMargins left="0.25" right="0.25" top="0.25" bottom="0.25" header="0" footer="0"/>
  <pageSetup scale="80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 enableFormatConditionsCalculation="0">
    <tabColor rgb="FF7030A0"/>
    <pageSetUpPr fitToPage="1"/>
  </sheetPr>
  <dimension ref="A1:S32"/>
  <sheetViews>
    <sheetView zoomScale="125" zoomScaleNormal="125" zoomScalePageLayoutView="125" workbookViewId="0">
      <pane xSplit="1" topLeftCell="B1" activePane="topRight" state="frozen"/>
      <selection pane="topRight" activeCell="J13" sqref="J13"/>
    </sheetView>
  </sheetViews>
  <sheetFormatPr baseColWidth="10" defaultColWidth="8.83203125" defaultRowHeight="12" x14ac:dyDescent="0"/>
  <cols>
    <col min="1" max="1" width="15.1640625" bestFit="1" customWidth="1"/>
    <col min="2" max="2" width="9.6640625" bestFit="1" customWidth="1"/>
    <col min="3" max="7" width="11" bestFit="1" customWidth="1"/>
    <col min="8" max="9" width="11.1640625" bestFit="1" customWidth="1"/>
    <col min="10" max="10" width="10.83203125" bestFit="1" customWidth="1"/>
    <col min="11" max="13" width="9.6640625" customWidth="1"/>
    <col min="14" max="14" width="12.1640625" bestFit="1" customWidth="1"/>
    <col min="15" max="15" width="11.6640625" bestFit="1" customWidth="1"/>
    <col min="19" max="19" width="13.83203125" bestFit="1" customWidth="1"/>
  </cols>
  <sheetData>
    <row r="1" spans="1:19" ht="17">
      <c r="A1" s="713" t="s">
        <v>355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</row>
    <row r="2" spans="1:19" ht="13" thickBot="1"/>
    <row r="3" spans="1:19" ht="13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252" t="s">
        <v>13</v>
      </c>
      <c r="N3" s="533" t="s">
        <v>349</v>
      </c>
      <c r="O3" s="529" t="s">
        <v>336</v>
      </c>
      <c r="P3" s="526" t="s">
        <v>16</v>
      </c>
      <c r="Q3" s="632" t="s">
        <v>58</v>
      </c>
    </row>
    <row r="4" spans="1:19">
      <c r="A4" s="484" t="s">
        <v>396</v>
      </c>
      <c r="B4" s="290" t="s">
        <v>365</v>
      </c>
      <c r="C4" s="290" t="s">
        <v>365</v>
      </c>
      <c r="D4" s="290" t="s">
        <v>365</v>
      </c>
      <c r="E4" s="290" t="s">
        <v>365</v>
      </c>
      <c r="F4" s="648">
        <v>360.68</v>
      </c>
      <c r="G4" s="648">
        <v>1045.51</v>
      </c>
      <c r="H4" s="648">
        <v>2175.2600000000002</v>
      </c>
      <c r="I4" s="648">
        <v>4502.32</v>
      </c>
      <c r="J4" s="648">
        <v>4038.53</v>
      </c>
      <c r="K4" s="648">
        <v>2295.14</v>
      </c>
      <c r="L4" s="648">
        <v>5061.13</v>
      </c>
      <c r="M4" s="649">
        <v>818.45</v>
      </c>
      <c r="N4" s="650">
        <f>SUM(F4:M4)</f>
        <v>20297.02</v>
      </c>
      <c r="O4" s="675" t="s">
        <v>365</v>
      </c>
      <c r="P4" s="636" t="e">
        <f t="shared" ref="P4:P21" si="0">N4/O4-1</f>
        <v>#VALUE!</v>
      </c>
      <c r="Q4" s="566">
        <f>N4/$N$22</f>
        <v>8.853436795414727E-4</v>
      </c>
    </row>
    <row r="5" spans="1:19">
      <c r="A5" s="483" t="s">
        <v>397</v>
      </c>
      <c r="B5" s="39">
        <v>20019</v>
      </c>
      <c r="C5" s="39">
        <v>26882.2</v>
      </c>
      <c r="D5" s="39">
        <v>16625.62</v>
      </c>
      <c r="E5" s="39">
        <v>18219.46</v>
      </c>
      <c r="F5" s="39">
        <v>37234.53</v>
      </c>
      <c r="G5" s="39">
        <v>29026.55</v>
      </c>
      <c r="H5" s="39">
        <v>44309.81</v>
      </c>
      <c r="I5" s="39">
        <v>51390.770000000004</v>
      </c>
      <c r="J5" s="39">
        <v>39388.78</v>
      </c>
      <c r="K5" s="39">
        <v>36344.620000000003</v>
      </c>
      <c r="L5" s="39">
        <v>59533.17</v>
      </c>
      <c r="M5" s="375">
        <v>22714.66</v>
      </c>
      <c r="N5" s="535">
        <f>SUM(B5:M5)</f>
        <v>401689.16999999993</v>
      </c>
      <c r="O5" s="388">
        <f>SUM('RC 2015'!B4:M4)</f>
        <v>390749.95</v>
      </c>
      <c r="P5" s="636">
        <f t="shared" si="0"/>
        <v>2.7995448239980458E-2</v>
      </c>
      <c r="Q5" s="566">
        <f>N5/$N$22</f>
        <v>1.7521437521358312E-2</v>
      </c>
      <c r="S5" s="117"/>
    </row>
    <row r="6" spans="1:19">
      <c r="A6" s="483" t="s">
        <v>398</v>
      </c>
      <c r="B6" s="39">
        <v>2344.41</v>
      </c>
      <c r="C6" s="39">
        <v>1610.22</v>
      </c>
      <c r="D6" s="39">
        <v>1091.0999999999999</v>
      </c>
      <c r="E6" s="39">
        <v>1464.46</v>
      </c>
      <c r="F6" s="39">
        <v>3357.77</v>
      </c>
      <c r="G6" s="39">
        <v>4307.2</v>
      </c>
      <c r="H6" s="39">
        <v>5171.05</v>
      </c>
      <c r="I6" s="39">
        <v>4760.41</v>
      </c>
      <c r="J6" s="39">
        <v>5277.75</v>
      </c>
      <c r="K6" s="39">
        <v>6215.72</v>
      </c>
      <c r="L6" s="39">
        <v>4278.6499999999996</v>
      </c>
      <c r="M6" s="375">
        <v>4211.28</v>
      </c>
      <c r="N6" s="535">
        <f>SUM(B6:M6)</f>
        <v>44090.02</v>
      </c>
      <c r="O6" s="388">
        <f>SUM('RC 2015'!B5:M5)</f>
        <v>38783.07</v>
      </c>
      <c r="P6" s="636">
        <f t="shared" si="0"/>
        <v>0.13683676923977384</v>
      </c>
      <c r="Q6" s="566">
        <f t="shared" ref="Q6:Q22" si="1">N6/$N$22</f>
        <v>1.9231798824584654E-3</v>
      </c>
      <c r="S6" s="117"/>
    </row>
    <row r="7" spans="1:19">
      <c r="A7" s="483" t="s">
        <v>399</v>
      </c>
      <c r="B7" s="39">
        <v>14981.26</v>
      </c>
      <c r="C7" s="39">
        <v>11644.57</v>
      </c>
      <c r="D7" s="39">
        <v>7398.63</v>
      </c>
      <c r="E7" s="39">
        <v>9631.99</v>
      </c>
      <c r="F7" s="39">
        <v>21193.14</v>
      </c>
      <c r="G7" s="39">
        <v>32605.83</v>
      </c>
      <c r="H7" s="39">
        <v>46616.99</v>
      </c>
      <c r="I7" s="39">
        <v>55969.67</v>
      </c>
      <c r="J7" s="39">
        <v>57168.9</v>
      </c>
      <c r="K7" s="39">
        <v>54235.93</v>
      </c>
      <c r="L7" s="39">
        <v>50927.54</v>
      </c>
      <c r="M7" s="375">
        <v>43145.37</v>
      </c>
      <c r="N7" s="535">
        <f t="shared" ref="N7:N20" si="2">SUM(B7:M7)</f>
        <v>405519.82</v>
      </c>
      <c r="O7" s="388">
        <f>SUM('RC 2015'!B6:M6)</f>
        <v>382884.73</v>
      </c>
      <c r="P7" s="636">
        <f t="shared" si="0"/>
        <v>5.9117243980975731E-2</v>
      </c>
      <c r="Q7" s="566">
        <f t="shared" si="1"/>
        <v>1.7688528146781925E-2</v>
      </c>
      <c r="S7" s="117"/>
    </row>
    <row r="8" spans="1:19">
      <c r="A8" s="483" t="s">
        <v>400</v>
      </c>
      <c r="B8" s="268">
        <v>4801</v>
      </c>
      <c r="C8" s="39">
        <v>8077.48</v>
      </c>
      <c r="D8" s="39">
        <v>3144.86</v>
      </c>
      <c r="E8" s="39">
        <v>3024.64</v>
      </c>
      <c r="F8" s="39">
        <v>8939.26</v>
      </c>
      <c r="G8" s="39">
        <v>6437.05</v>
      </c>
      <c r="H8" s="39">
        <v>9734.92</v>
      </c>
      <c r="I8" s="39">
        <v>14913.06</v>
      </c>
      <c r="J8" s="39">
        <v>6776.94</v>
      </c>
      <c r="K8" s="39">
        <v>6967.69</v>
      </c>
      <c r="L8" s="39">
        <v>14811.09</v>
      </c>
      <c r="M8" s="375">
        <v>6740.36</v>
      </c>
      <c r="N8" s="535">
        <f t="shared" si="2"/>
        <v>94368.349999999991</v>
      </c>
      <c r="O8" s="388">
        <f>SUM('RC 2015'!B7:M7)</f>
        <v>92311.45</v>
      </c>
      <c r="P8" s="636">
        <f t="shared" si="0"/>
        <v>2.2282176263074494E-2</v>
      </c>
      <c r="Q8" s="566">
        <f t="shared" si="1"/>
        <v>4.1162900869811201E-3</v>
      </c>
      <c r="S8" s="117"/>
    </row>
    <row r="9" spans="1:19">
      <c r="A9" s="483" t="s">
        <v>401</v>
      </c>
      <c r="B9" s="39">
        <v>9527.35</v>
      </c>
      <c r="C9" s="39">
        <v>16435.5</v>
      </c>
      <c r="D9" s="39">
        <v>8424.1</v>
      </c>
      <c r="E9" s="39">
        <v>7489.78</v>
      </c>
      <c r="F9" s="39">
        <v>18648.939999999999</v>
      </c>
      <c r="G9" s="39">
        <v>8360.76</v>
      </c>
      <c r="H9" s="39">
        <v>15348.36</v>
      </c>
      <c r="I9" s="39">
        <v>31381.64</v>
      </c>
      <c r="J9" s="39">
        <v>16436.310000000001</v>
      </c>
      <c r="K9" s="39">
        <v>20249.400000000001</v>
      </c>
      <c r="L9" s="39">
        <v>35812.769999999997</v>
      </c>
      <c r="M9" s="375">
        <v>12210.39</v>
      </c>
      <c r="N9" s="535">
        <f t="shared" si="2"/>
        <v>200325.3</v>
      </c>
      <c r="O9" s="388">
        <f>SUM('RC 2015'!B8:M8)</f>
        <v>183768.50000000003</v>
      </c>
      <c r="P9" s="636">
        <f t="shared" si="0"/>
        <v>9.009596312752155E-2</v>
      </c>
      <c r="Q9" s="566">
        <f t="shared" si="1"/>
        <v>8.7380678645066802E-3</v>
      </c>
      <c r="S9" s="117"/>
    </row>
    <row r="10" spans="1:19">
      <c r="A10" s="483" t="s">
        <v>402</v>
      </c>
      <c r="B10" s="39">
        <v>2658.45</v>
      </c>
      <c r="C10" s="39">
        <v>6741.82</v>
      </c>
      <c r="D10" s="39">
        <v>9399.66</v>
      </c>
      <c r="E10" s="39">
        <v>1877.09</v>
      </c>
      <c r="F10" s="39">
        <v>5496.03</v>
      </c>
      <c r="G10" s="39">
        <v>5998.25</v>
      </c>
      <c r="H10" s="39">
        <v>10373.76</v>
      </c>
      <c r="I10" s="39">
        <v>14645.93</v>
      </c>
      <c r="J10" s="39">
        <v>7299.97</v>
      </c>
      <c r="K10" s="39">
        <v>9706.31</v>
      </c>
      <c r="L10" s="39">
        <v>12371.14</v>
      </c>
      <c r="M10" s="375">
        <v>6888.22</v>
      </c>
      <c r="N10" s="535">
        <f t="shared" si="2"/>
        <v>93456.63</v>
      </c>
      <c r="O10" s="388">
        <f>SUM('RC 2015'!B9:M9)</f>
        <v>78223.8</v>
      </c>
      <c r="P10" s="636">
        <f t="shared" si="0"/>
        <v>0.19473395565032647</v>
      </c>
      <c r="Q10" s="566">
        <f t="shared" si="1"/>
        <v>4.0765214145596735E-3</v>
      </c>
      <c r="S10" s="117"/>
    </row>
    <row r="11" spans="1:19">
      <c r="A11" s="483" t="s">
        <v>403</v>
      </c>
      <c r="B11" s="39">
        <v>175636.35</v>
      </c>
      <c r="C11" s="39">
        <v>177552.54</v>
      </c>
      <c r="D11" s="39">
        <v>94233.68</v>
      </c>
      <c r="E11" s="39">
        <v>152847.65</v>
      </c>
      <c r="F11" s="39">
        <v>392248.63</v>
      </c>
      <c r="G11" s="39">
        <v>324047.14</v>
      </c>
      <c r="H11" s="39">
        <v>406058.77</v>
      </c>
      <c r="I11" s="39">
        <v>435740.43</v>
      </c>
      <c r="J11" s="39">
        <v>312695.33999999997</v>
      </c>
      <c r="K11" s="39">
        <v>351672.11</v>
      </c>
      <c r="L11" s="39">
        <v>453720.32000000001</v>
      </c>
      <c r="M11" s="375">
        <v>361538.1</v>
      </c>
      <c r="N11" s="535">
        <f t="shared" si="2"/>
        <v>3637991.0599999996</v>
      </c>
      <c r="O11" s="388">
        <f>SUM('RC 2015'!B10:M10)</f>
        <v>3377428.9000000004</v>
      </c>
      <c r="P11" s="636">
        <f t="shared" si="0"/>
        <v>7.7148081488850551E-2</v>
      </c>
      <c r="Q11" s="566">
        <f t="shared" si="1"/>
        <v>0.15868695952407705</v>
      </c>
      <c r="S11" s="117"/>
    </row>
    <row r="12" spans="1:19">
      <c r="A12" s="483" t="s">
        <v>404</v>
      </c>
      <c r="B12" s="39">
        <v>17284.2</v>
      </c>
      <c r="C12" s="39">
        <v>73574.36</v>
      </c>
      <c r="D12" s="39">
        <v>53576.160000000003</v>
      </c>
      <c r="E12" s="39">
        <v>51159.25</v>
      </c>
      <c r="F12" s="39">
        <v>53985.48</v>
      </c>
      <c r="G12" s="39">
        <v>11656.9</v>
      </c>
      <c r="H12" s="39">
        <v>11496.25</v>
      </c>
      <c r="I12" s="39">
        <v>11693.06</v>
      </c>
      <c r="J12" s="39">
        <v>17105.13</v>
      </c>
      <c r="K12" s="39">
        <v>14044.34</v>
      </c>
      <c r="L12" s="39">
        <v>28242.32</v>
      </c>
      <c r="M12" s="375">
        <v>6372.46</v>
      </c>
      <c r="N12" s="535">
        <f t="shared" si="2"/>
        <v>350189.91000000003</v>
      </c>
      <c r="O12" s="388">
        <f>SUM('RC 2015'!B11:M11)</f>
        <v>325887.19999999995</v>
      </c>
      <c r="P12" s="636">
        <f t="shared" si="0"/>
        <v>7.4573993700888241E-2</v>
      </c>
      <c r="Q12" s="566">
        <f t="shared" si="1"/>
        <v>1.5275071092096141E-2</v>
      </c>
      <c r="S12" s="117"/>
    </row>
    <row r="13" spans="1:19">
      <c r="A13" s="483" t="s">
        <v>405</v>
      </c>
      <c r="B13" s="39">
        <v>33830.959999999999</v>
      </c>
      <c r="C13" s="39">
        <v>59815.79</v>
      </c>
      <c r="D13" s="39">
        <v>28156.49</v>
      </c>
      <c r="E13" s="39">
        <v>30739.279999999999</v>
      </c>
      <c r="F13" s="39">
        <v>63130.54</v>
      </c>
      <c r="G13" s="39">
        <v>40746.410000000003</v>
      </c>
      <c r="H13" s="39">
        <v>56662.34</v>
      </c>
      <c r="I13" s="39">
        <v>92308.58</v>
      </c>
      <c r="J13" s="39">
        <v>62255.58</v>
      </c>
      <c r="K13" s="39">
        <v>64813.599999999999</v>
      </c>
      <c r="L13" s="39">
        <v>92163.15</v>
      </c>
      <c r="M13" s="375">
        <v>49635.55</v>
      </c>
      <c r="N13" s="535">
        <f t="shared" si="2"/>
        <v>674258.27000000014</v>
      </c>
      <c r="O13" s="388">
        <f>SUM('RC 2015'!B12:M12)</f>
        <v>643710.06000000006</v>
      </c>
      <c r="P13" s="636">
        <f t="shared" si="0"/>
        <v>4.7456474425768835E-2</v>
      </c>
      <c r="Q13" s="566">
        <f t="shared" si="1"/>
        <v>2.9410736045146917E-2</v>
      </c>
      <c r="S13" s="117"/>
    </row>
    <row r="14" spans="1:19">
      <c r="A14" s="483" t="s">
        <v>406</v>
      </c>
      <c r="B14" s="39">
        <v>4338.3</v>
      </c>
      <c r="C14" s="39">
        <v>7831.37</v>
      </c>
      <c r="D14" s="39">
        <v>2914.75</v>
      </c>
      <c r="E14" s="39">
        <v>3946.02</v>
      </c>
      <c r="F14" s="39">
        <v>7350.75</v>
      </c>
      <c r="G14" s="39">
        <v>7519.1</v>
      </c>
      <c r="H14" s="39">
        <v>10648.27</v>
      </c>
      <c r="I14" s="39">
        <v>17516.900000000001</v>
      </c>
      <c r="J14" s="39">
        <v>10567.98</v>
      </c>
      <c r="K14" s="39">
        <v>9357.24</v>
      </c>
      <c r="L14" s="39">
        <v>18166.48</v>
      </c>
      <c r="M14" s="375">
        <v>9541.52</v>
      </c>
      <c r="N14" s="535">
        <f t="shared" si="2"/>
        <v>109698.68000000001</v>
      </c>
      <c r="O14" s="388">
        <f>SUM('RC 2015'!B13:M13)</f>
        <v>100995.97</v>
      </c>
      <c r="P14" s="636">
        <f t="shared" si="0"/>
        <v>8.6168883768332538E-2</v>
      </c>
      <c r="Q14" s="566">
        <f t="shared" si="1"/>
        <v>4.7849897665786685E-3</v>
      </c>
      <c r="S14" s="117"/>
    </row>
    <row r="15" spans="1:19">
      <c r="A15" s="483" t="s">
        <v>407</v>
      </c>
      <c r="B15" s="39">
        <v>16224.67</v>
      </c>
      <c r="C15" s="39">
        <v>17132.53</v>
      </c>
      <c r="D15" s="39">
        <v>14057.22</v>
      </c>
      <c r="E15" s="39">
        <v>7606.82</v>
      </c>
      <c r="F15" s="39">
        <v>15650.69</v>
      </c>
      <c r="G15" s="39">
        <v>10812.97</v>
      </c>
      <c r="H15" s="39">
        <v>19672.53</v>
      </c>
      <c r="I15" s="39">
        <v>60748.5</v>
      </c>
      <c r="J15" s="39">
        <v>57657.229999999996</v>
      </c>
      <c r="K15" s="39">
        <v>57292.12</v>
      </c>
      <c r="L15" s="39">
        <v>85052.11</v>
      </c>
      <c r="M15" s="375">
        <v>8545.16</v>
      </c>
      <c r="N15" s="535">
        <f t="shared" si="2"/>
        <v>370452.54999999993</v>
      </c>
      <c r="O15" s="388">
        <f>SUM('RC 2015'!B14:M14)</f>
        <v>304707.02999999997</v>
      </c>
      <c r="P15" s="636">
        <f t="shared" si="0"/>
        <v>0.21576633791481603</v>
      </c>
      <c r="Q15" s="566">
        <f t="shared" si="1"/>
        <v>1.6158915136927555E-2</v>
      </c>
      <c r="S15" s="117"/>
    </row>
    <row r="16" spans="1:19">
      <c r="A16" s="483" t="s">
        <v>408</v>
      </c>
      <c r="B16" s="39">
        <v>73696.39</v>
      </c>
      <c r="C16" s="39">
        <v>126446.41</v>
      </c>
      <c r="D16" s="39">
        <v>149266.23000000001</v>
      </c>
      <c r="E16" s="39">
        <v>179876.4</v>
      </c>
      <c r="F16" s="39">
        <v>172804.12</v>
      </c>
      <c r="G16" s="39">
        <v>31926.94</v>
      </c>
      <c r="H16" s="39">
        <v>7943.01</v>
      </c>
      <c r="I16" s="39">
        <v>25486.92</v>
      </c>
      <c r="J16" s="39">
        <v>14752.34</v>
      </c>
      <c r="K16" s="39">
        <v>48553.82</v>
      </c>
      <c r="L16" s="39">
        <v>13646.740000000002</v>
      </c>
      <c r="M16" s="375">
        <v>20297.96</v>
      </c>
      <c r="N16" s="535">
        <f t="shared" si="2"/>
        <v>864697.27999999991</v>
      </c>
      <c r="O16" s="388">
        <f>SUM('RC 2015'!B15:M15)</f>
        <v>719186.98</v>
      </c>
      <c r="P16" s="636">
        <f>N16/O16-1</f>
        <v>0.20232610440194554</v>
      </c>
      <c r="Q16" s="566">
        <f t="shared" si="1"/>
        <v>3.7717569946952953E-2</v>
      </c>
      <c r="S16" s="117"/>
    </row>
    <row r="17" spans="1:19" ht="12.75" customHeight="1">
      <c r="A17" s="483" t="s">
        <v>409</v>
      </c>
      <c r="B17" s="39">
        <v>20.3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27">
        <v>0</v>
      </c>
      <c r="L17" s="39">
        <v>0</v>
      </c>
      <c r="M17" s="531">
        <v>0</v>
      </c>
      <c r="N17" s="535">
        <f t="shared" si="2"/>
        <v>20.3</v>
      </c>
      <c r="O17" s="388">
        <f>SUM('RC 2015'!B16:M16)</f>
        <v>29.21</v>
      </c>
      <c r="P17" s="636">
        <f>N17/O17-1</f>
        <v>-0.30503252310852447</v>
      </c>
      <c r="Q17" s="566">
        <f t="shared" si="1"/>
        <v>8.8547366533076764E-7</v>
      </c>
      <c r="S17" s="117"/>
    </row>
    <row r="18" spans="1:19">
      <c r="A18" s="483" t="s">
        <v>410</v>
      </c>
      <c r="B18" s="39">
        <v>665886.71</v>
      </c>
      <c r="C18" s="39">
        <v>2048478.35</v>
      </c>
      <c r="D18" s="39">
        <v>2112571.34</v>
      </c>
      <c r="E18" s="39">
        <v>1785941.1</v>
      </c>
      <c r="F18" s="39">
        <v>2273600.0499999998</v>
      </c>
      <c r="G18" s="327">
        <v>482874.8</v>
      </c>
      <c r="H18" s="327">
        <v>437360.25</v>
      </c>
      <c r="I18" s="39">
        <v>779876.08000000007</v>
      </c>
      <c r="J18" s="39">
        <v>783472.06</v>
      </c>
      <c r="K18" s="39">
        <v>835296.87999999989</v>
      </c>
      <c r="L18" s="39">
        <v>887134.58000000007</v>
      </c>
      <c r="M18" s="375">
        <v>569328.46</v>
      </c>
      <c r="N18" s="535">
        <f t="shared" si="2"/>
        <v>13661820.66</v>
      </c>
      <c r="O18" s="388">
        <f>SUM('RC 2015'!B17:M17)</f>
        <v>12442541.040000003</v>
      </c>
      <c r="P18" s="636">
        <f t="shared" si="0"/>
        <v>9.7992814818153695E-2</v>
      </c>
      <c r="Q18" s="566">
        <f t="shared" si="1"/>
        <v>0.59592031600501505</v>
      </c>
      <c r="R18" s="611"/>
      <c r="S18" s="117"/>
    </row>
    <row r="19" spans="1:19">
      <c r="A19" s="483" t="s">
        <v>411</v>
      </c>
      <c r="B19" s="39">
        <v>2030.53</v>
      </c>
      <c r="C19" s="39">
        <v>5051.26</v>
      </c>
      <c r="D19" s="39">
        <v>4532.3100000000004</v>
      </c>
      <c r="E19" s="39">
        <v>5129.04</v>
      </c>
      <c r="F19" s="39">
        <v>4143.09</v>
      </c>
      <c r="G19" s="327">
        <v>1720.67</v>
      </c>
      <c r="H19" s="39">
        <v>2203.59</v>
      </c>
      <c r="I19" s="39">
        <v>2552.3000000000002</v>
      </c>
      <c r="J19" s="39">
        <v>3673.28</v>
      </c>
      <c r="K19" s="327">
        <v>3266.94</v>
      </c>
      <c r="L19" s="39">
        <v>3004.11</v>
      </c>
      <c r="M19" s="375">
        <v>3206.06</v>
      </c>
      <c r="N19" s="535">
        <f t="shared" si="2"/>
        <v>40513.18</v>
      </c>
      <c r="O19" s="388">
        <f>SUM('RC 2015'!B18:M18)</f>
        <v>37930.370000000003</v>
      </c>
      <c r="P19" s="636">
        <f t="shared" si="0"/>
        <v>6.8093456509915384E-2</v>
      </c>
      <c r="Q19" s="566">
        <f t="shared" si="1"/>
        <v>1.767160295015032E-3</v>
      </c>
      <c r="R19" s="612"/>
      <c r="S19" s="117"/>
    </row>
    <row r="20" spans="1:19">
      <c r="A20" s="483" t="s">
        <v>412</v>
      </c>
      <c r="B20" s="39">
        <v>20970.89</v>
      </c>
      <c r="C20" s="39">
        <v>44935.76</v>
      </c>
      <c r="D20" s="39">
        <v>16107.08</v>
      </c>
      <c r="E20" s="39">
        <v>27450.01</v>
      </c>
      <c r="F20" s="39">
        <v>40845.32</v>
      </c>
      <c r="G20" s="327">
        <v>29237.24</v>
      </c>
      <c r="H20" s="39">
        <v>35455.39</v>
      </c>
      <c r="I20" s="39">
        <v>44913.51</v>
      </c>
      <c r="J20" s="39">
        <v>48347.91</v>
      </c>
      <c r="K20" s="327">
        <v>70061.56</v>
      </c>
      <c r="L20" s="39">
        <v>50942.12</v>
      </c>
      <c r="M20" s="375">
        <v>42918.13</v>
      </c>
      <c r="N20" s="535">
        <f t="shared" si="2"/>
        <v>472184.92</v>
      </c>
      <c r="O20" s="388">
        <f>SUM('RC 2015'!B19:M19)</f>
        <v>460189.68000000005</v>
      </c>
      <c r="P20" s="636">
        <f t="shared" si="0"/>
        <v>2.606586049474191E-2</v>
      </c>
      <c r="Q20" s="566">
        <f t="shared" si="1"/>
        <v>2.0596419301788928E-2</v>
      </c>
      <c r="S20" s="117"/>
    </row>
    <row r="21" spans="1:19" ht="13" thickBot="1">
      <c r="A21" s="275" t="s">
        <v>413</v>
      </c>
      <c r="B21" s="268">
        <v>62136.07</v>
      </c>
      <c r="C21" s="376">
        <v>63344.23</v>
      </c>
      <c r="D21" s="39">
        <v>28176.26</v>
      </c>
      <c r="E21" s="376">
        <v>49831.65</v>
      </c>
      <c r="F21" s="376">
        <v>135298.88</v>
      </c>
      <c r="G21" s="376">
        <v>134077.93</v>
      </c>
      <c r="H21" s="39">
        <v>152041.60000000001</v>
      </c>
      <c r="I21" s="376">
        <v>205765.41999999998</v>
      </c>
      <c r="J21" s="376">
        <v>149804.46</v>
      </c>
      <c r="K21" s="376">
        <v>168022.91999999998</v>
      </c>
      <c r="L21" s="39">
        <v>198810.86000000002</v>
      </c>
      <c r="M21" s="375">
        <v>136699.59</v>
      </c>
      <c r="N21" s="535">
        <f>SUM(B21:M21)</f>
        <v>1484009.87</v>
      </c>
      <c r="O21" s="388">
        <f>SUM('RC 2015'!B20:M20)</f>
        <v>1262215.8999999999</v>
      </c>
      <c r="P21" s="641">
        <f t="shared" si="0"/>
        <v>0.17571793383366519</v>
      </c>
      <c r="Q21" s="631">
        <f t="shared" si="1"/>
        <v>6.4731608816548575E-2</v>
      </c>
      <c r="S21" s="117"/>
    </row>
    <row r="22" spans="1:19" ht="13" thickBot="1">
      <c r="A22" s="470" t="s">
        <v>54</v>
      </c>
      <c r="B22" s="610">
        <f>SUM(B5:B21)</f>
        <v>1126386.8400000001</v>
      </c>
      <c r="C22" s="609">
        <f>SUM(C5:C21)</f>
        <v>2695554.3899999997</v>
      </c>
      <c r="D22" s="609">
        <f t="shared" ref="D22:E22" si="3">SUM(D5:D21)</f>
        <v>2549675.4899999998</v>
      </c>
      <c r="E22" s="609">
        <f t="shared" si="3"/>
        <v>2336234.6399999997</v>
      </c>
      <c r="F22" s="609">
        <f>SUM(F4:F21)</f>
        <v>3254287.8999999994</v>
      </c>
      <c r="G22" s="609">
        <f t="shared" ref="G22:N22" si="4">SUM(G4:G21)</f>
        <v>1162401.25</v>
      </c>
      <c r="H22" s="609">
        <f t="shared" si="4"/>
        <v>1273272.1500000001</v>
      </c>
      <c r="I22" s="609">
        <f t="shared" si="4"/>
        <v>1854165.5</v>
      </c>
      <c r="J22" s="609">
        <f t="shared" si="4"/>
        <v>1596718.4899999998</v>
      </c>
      <c r="K22" s="609">
        <f t="shared" si="4"/>
        <v>1758396.3399999999</v>
      </c>
      <c r="L22" s="609">
        <f t="shared" si="4"/>
        <v>2013678.2800000003</v>
      </c>
      <c r="M22" s="609">
        <f t="shared" si="4"/>
        <v>1304811.72</v>
      </c>
      <c r="N22" s="609">
        <f t="shared" si="4"/>
        <v>22925582.990000002</v>
      </c>
      <c r="O22" s="530">
        <f>SUM(O5:O21)</f>
        <v>20841543.840000004</v>
      </c>
      <c r="P22" s="445">
        <f>N22/O22-1</f>
        <v>9.9994470947023517E-2</v>
      </c>
      <c r="Q22" s="625">
        <f t="shared" si="1"/>
        <v>1</v>
      </c>
      <c r="S22" s="117"/>
    </row>
    <row r="23" spans="1:19" s="222" customFormat="1" ht="13" thickBot="1">
      <c r="A23" s="537" t="s">
        <v>265</v>
      </c>
      <c r="B23" s="538">
        <f>B22/'RC 2015'!B21-1</f>
        <v>0.12893096495469281</v>
      </c>
      <c r="C23" s="538">
        <f>C22/'RC 2015'!C21-1</f>
        <v>6.6572189520581304E-2</v>
      </c>
      <c r="D23" s="538">
        <f>D22/'RC 2015'!D21-1</f>
        <v>0.13105687343729877</v>
      </c>
      <c r="E23" s="538">
        <f>E22/'RC 2015'!E21-1</f>
        <v>0.10241298779340813</v>
      </c>
      <c r="F23" s="538">
        <f>F22/'RC 2015'!F21-1</f>
        <v>0.18139349334849686</v>
      </c>
      <c r="G23" s="538">
        <f>G22/'RC 2015'!G21-1</f>
        <v>-9.7091529412596467E-2</v>
      </c>
      <c r="H23" s="538">
        <f>H22/'RC 2015'!H21-1</f>
        <v>0.13043988372896731</v>
      </c>
      <c r="I23" s="538">
        <f>I22/'RC 2015'!I21-1</f>
        <v>5.7193559458368792E-2</v>
      </c>
      <c r="J23" s="538">
        <f>J22/'RC 2015'!J21-1</f>
        <v>2.6143054985875436E-2</v>
      </c>
      <c r="K23" s="538">
        <f>K22/'RC 2015'!K21-1</f>
        <v>0.19012729149896335</v>
      </c>
      <c r="L23" s="538">
        <f>L22/'RC 2015'!L21-1</f>
        <v>0.11908442090585636</v>
      </c>
      <c r="M23" s="538">
        <f>M22/'RC 2015'!M21-1</f>
        <v>9.841512445450129E-2</v>
      </c>
      <c r="N23" s="569"/>
      <c r="O23" s="570"/>
      <c r="P23" s="571"/>
      <c r="Q23" s="571"/>
    </row>
    <row r="25" spans="1:19">
      <c r="C25" s="243"/>
      <c r="H25" s="1"/>
      <c r="I25" s="1"/>
    </row>
    <row r="26" spans="1:19">
      <c r="H26" s="243"/>
      <c r="I26" s="1"/>
    </row>
    <row r="27" spans="1:19">
      <c r="A27" s="287"/>
      <c r="H27" s="243"/>
      <c r="I27" s="1"/>
      <c r="N27" s="100"/>
    </row>
    <row r="28" spans="1:19">
      <c r="A28" s="287"/>
      <c r="H28" s="243"/>
      <c r="I28" s="1"/>
    </row>
    <row r="29" spans="1:19">
      <c r="H29" s="243"/>
      <c r="I29" s="1"/>
    </row>
    <row r="30" spans="1:19">
      <c r="H30" s="1"/>
      <c r="I30" s="1"/>
      <c r="S30" s="219"/>
    </row>
    <row r="32" spans="1:19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1">
    <mergeCell ref="A1:Q1"/>
  </mergeCells>
  <conditionalFormatting sqref="P4:P22">
    <cfRule type="cellIs" dxfId="0" priority="1" operator="lessThan">
      <formula>0</formula>
    </cfRule>
  </conditionalFormatting>
  <printOptions horizontalCentered="1"/>
  <pageMargins left="0.25" right="0.25" top="0.25" bottom="0.25" header="0" footer="0"/>
  <pageSetup scale="80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 enableFormatConditionsCalculation="0">
    <tabColor rgb="FF7030A0"/>
    <pageSetUpPr fitToPage="1"/>
  </sheetPr>
  <dimension ref="A1:S31"/>
  <sheetViews>
    <sheetView workbookViewId="0">
      <pane xSplit="1" topLeftCell="F1" activePane="topRight" state="frozen"/>
      <selection pane="topRight" activeCell="N4" sqref="N4"/>
    </sheetView>
  </sheetViews>
  <sheetFormatPr baseColWidth="10" defaultColWidth="8.83203125" defaultRowHeight="12" x14ac:dyDescent="0"/>
  <cols>
    <col min="1" max="1" width="10.83203125" bestFit="1" customWidth="1"/>
    <col min="2" max="2" width="9.6640625" bestFit="1" customWidth="1"/>
    <col min="3" max="7" width="11" bestFit="1" customWidth="1"/>
    <col min="8" max="9" width="11.1640625" bestFit="1" customWidth="1"/>
    <col min="10" max="10" width="10.83203125" bestFit="1" customWidth="1"/>
    <col min="11" max="13" width="9.6640625" customWidth="1"/>
    <col min="14" max="14" width="12.1640625" bestFit="1" customWidth="1"/>
    <col min="15" max="15" width="11.6640625" bestFit="1" customWidth="1"/>
    <col min="19" max="19" width="13.83203125" bestFit="1" customWidth="1"/>
  </cols>
  <sheetData>
    <row r="1" spans="1:19" ht="17">
      <c r="A1" s="713" t="s">
        <v>339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</row>
    <row r="2" spans="1:19" ht="13" thickBot="1"/>
    <row r="3" spans="1:19" ht="13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252" t="s">
        <v>13</v>
      </c>
      <c r="N3" s="533" t="s">
        <v>336</v>
      </c>
      <c r="O3" s="529" t="s">
        <v>147</v>
      </c>
      <c r="P3" s="526" t="s">
        <v>16</v>
      </c>
      <c r="Q3" s="632" t="s">
        <v>58</v>
      </c>
    </row>
    <row r="4" spans="1:19">
      <c r="A4" s="267" t="s">
        <v>176</v>
      </c>
      <c r="B4" s="39">
        <v>20849.919999999998</v>
      </c>
      <c r="C4" s="39">
        <v>28463.27</v>
      </c>
      <c r="D4" s="39">
        <v>23829</v>
      </c>
      <c r="E4" s="39">
        <v>10042.280000000001</v>
      </c>
      <c r="F4" s="39">
        <v>30017.81</v>
      </c>
      <c r="G4" s="39">
        <v>34646.080000000002</v>
      </c>
      <c r="H4" s="39">
        <v>33692.32</v>
      </c>
      <c r="I4" s="39">
        <v>54904.44</v>
      </c>
      <c r="J4" s="39">
        <v>39030.21</v>
      </c>
      <c r="K4" s="39">
        <v>31777.37</v>
      </c>
      <c r="L4" s="39">
        <v>49197.25</v>
      </c>
      <c r="M4" s="375">
        <v>34300</v>
      </c>
      <c r="N4" s="534">
        <f>SUM(B4:M4)</f>
        <v>390749.95</v>
      </c>
      <c r="O4" s="388">
        <f>SUM('RC 2014'!B4:M4)</f>
        <v>366258.92</v>
      </c>
      <c r="P4" s="527">
        <f t="shared" ref="P4:P20" si="0">N4/O4-1</f>
        <v>6.6868077916027335E-2</v>
      </c>
      <c r="Q4" s="566">
        <f>N4/$N$21</f>
        <v>1.8748608692320364E-2</v>
      </c>
      <c r="S4" s="117"/>
    </row>
    <row r="5" spans="1:19">
      <c r="A5" s="267" t="s">
        <v>282</v>
      </c>
      <c r="B5" s="39">
        <v>1605.83</v>
      </c>
      <c r="C5" s="39">
        <v>1509.54</v>
      </c>
      <c r="D5" s="39">
        <v>1277.51</v>
      </c>
      <c r="E5" s="39">
        <v>1039.19</v>
      </c>
      <c r="F5" s="39">
        <v>2546.6</v>
      </c>
      <c r="G5" s="39">
        <v>6384.76</v>
      </c>
      <c r="H5" s="39">
        <v>2923.1</v>
      </c>
      <c r="I5" s="39">
        <v>5321.67</v>
      </c>
      <c r="J5" s="39">
        <v>2251.31</v>
      </c>
      <c r="K5" s="39">
        <v>3959.68</v>
      </c>
      <c r="L5" s="39">
        <v>5715.88</v>
      </c>
      <c r="M5" s="375">
        <v>4248</v>
      </c>
      <c r="N5" s="535">
        <f>SUM(B5:M5)</f>
        <v>38783.07</v>
      </c>
      <c r="O5" s="388">
        <f>SUM('RC 2014'!B5:M5)</f>
        <v>36895.390000000007</v>
      </c>
      <c r="P5" s="527">
        <f t="shared" si="0"/>
        <v>5.1163031479000365E-2</v>
      </c>
      <c r="Q5" s="566">
        <f t="shared" ref="Q5:Q21" si="1">N5/$N$21</f>
        <v>1.8608539894038863E-3</v>
      </c>
      <c r="S5" s="117"/>
    </row>
    <row r="6" spans="1:19">
      <c r="A6" s="267" t="s">
        <v>283</v>
      </c>
      <c r="B6" s="39">
        <v>11806.26</v>
      </c>
      <c r="C6" s="39">
        <v>10315.57</v>
      </c>
      <c r="D6" s="39">
        <v>7083.7</v>
      </c>
      <c r="E6" s="39">
        <v>9079.16</v>
      </c>
      <c r="F6" s="39">
        <v>18872.54</v>
      </c>
      <c r="G6" s="39">
        <v>32149.66</v>
      </c>
      <c r="H6" s="39">
        <v>45470.559999999998</v>
      </c>
      <c r="I6" s="39">
        <v>52413.9</v>
      </c>
      <c r="J6" s="39">
        <v>55163.85</v>
      </c>
      <c r="K6" s="39">
        <v>49304.86</v>
      </c>
      <c r="L6" s="39">
        <v>55308.67</v>
      </c>
      <c r="M6" s="375">
        <v>35916</v>
      </c>
      <c r="N6" s="535">
        <f t="shared" ref="N6:N19" si="2">SUM(B6:M6)</f>
        <v>382884.73</v>
      </c>
      <c r="O6" s="388">
        <f>SUM('RC 2014'!B6:M6)</f>
        <v>359681.97000000009</v>
      </c>
      <c r="P6" s="527">
        <f t="shared" si="0"/>
        <v>6.4509099524782565E-2</v>
      </c>
      <c r="Q6" s="566">
        <f t="shared" si="1"/>
        <v>1.8371226860130718E-2</v>
      </c>
      <c r="S6" s="117"/>
    </row>
    <row r="7" spans="1:19">
      <c r="A7" s="267" t="s">
        <v>178</v>
      </c>
      <c r="B7" s="268">
        <v>4673.55</v>
      </c>
      <c r="C7" s="39">
        <v>7730.89</v>
      </c>
      <c r="D7" s="39">
        <v>3664.63</v>
      </c>
      <c r="E7" s="39">
        <v>4927.07</v>
      </c>
      <c r="F7" s="39">
        <v>6110.97</v>
      </c>
      <c r="G7" s="39">
        <v>7007.01</v>
      </c>
      <c r="H7" s="39">
        <v>8662.15</v>
      </c>
      <c r="I7" s="39">
        <v>14978.7</v>
      </c>
      <c r="J7" s="39">
        <v>5524.6</v>
      </c>
      <c r="K7" s="39">
        <v>6871.19</v>
      </c>
      <c r="L7" s="39">
        <v>15755.69</v>
      </c>
      <c r="M7" s="375">
        <v>6405</v>
      </c>
      <c r="N7" s="535">
        <f t="shared" si="2"/>
        <v>92311.45</v>
      </c>
      <c r="O7" s="388">
        <f>SUM('RC 2014'!B7:M7)</f>
        <v>77614.789999999994</v>
      </c>
      <c r="P7" s="527">
        <f t="shared" si="0"/>
        <v>0.18935385897455892</v>
      </c>
      <c r="Q7" s="566">
        <f t="shared" si="1"/>
        <v>4.4292040315570009E-3</v>
      </c>
      <c r="S7" s="117"/>
    </row>
    <row r="8" spans="1:19">
      <c r="A8" s="267" t="s">
        <v>284</v>
      </c>
      <c r="B8" s="39">
        <v>8666.34</v>
      </c>
      <c r="C8" s="39">
        <v>18143.400000000001</v>
      </c>
      <c r="D8" s="39">
        <v>8034.67</v>
      </c>
      <c r="E8" s="39">
        <v>5764.89</v>
      </c>
      <c r="F8" s="39">
        <v>16112.67</v>
      </c>
      <c r="G8" s="39">
        <v>9727.17</v>
      </c>
      <c r="H8" s="39">
        <v>11724.71</v>
      </c>
      <c r="I8" s="39">
        <v>30662.97</v>
      </c>
      <c r="J8" s="39">
        <v>14329.14</v>
      </c>
      <c r="K8" s="39">
        <v>15532.31</v>
      </c>
      <c r="L8" s="39">
        <v>36088.230000000003</v>
      </c>
      <c r="M8" s="375">
        <v>8982</v>
      </c>
      <c r="N8" s="535">
        <f t="shared" si="2"/>
        <v>183768.50000000003</v>
      </c>
      <c r="O8" s="388">
        <f>SUM('RC 2014'!B8:M8)</f>
        <v>174105.96000000002</v>
      </c>
      <c r="P8" s="527">
        <f t="shared" si="0"/>
        <v>5.5498042686189519E-2</v>
      </c>
      <c r="Q8" s="566">
        <f t="shared" si="1"/>
        <v>8.8174130194378156E-3</v>
      </c>
      <c r="S8" s="117"/>
    </row>
    <row r="9" spans="1:19">
      <c r="A9" s="267" t="s">
        <v>285</v>
      </c>
      <c r="B9" s="39">
        <v>2429.54</v>
      </c>
      <c r="C9" s="39">
        <v>2947.12</v>
      </c>
      <c r="D9" s="39">
        <v>2545.83</v>
      </c>
      <c r="E9" s="39">
        <v>1143.72</v>
      </c>
      <c r="F9" s="39">
        <v>4318.74</v>
      </c>
      <c r="G9" s="39">
        <v>5627.35</v>
      </c>
      <c r="H9" s="39">
        <v>7192.21</v>
      </c>
      <c r="I9" s="39">
        <v>13504.58</v>
      </c>
      <c r="J9" s="39">
        <v>8760.26</v>
      </c>
      <c r="K9" s="39">
        <v>10607.72</v>
      </c>
      <c r="L9" s="39">
        <v>13718.73</v>
      </c>
      <c r="M9" s="375">
        <v>5428</v>
      </c>
      <c r="N9" s="535">
        <f t="shared" si="2"/>
        <v>78223.8</v>
      </c>
      <c r="O9" s="388">
        <f>SUM('RC 2014'!B9:M9)</f>
        <v>63956.12</v>
      </c>
      <c r="P9" s="527">
        <f t="shared" si="0"/>
        <v>0.22308545296368831</v>
      </c>
      <c r="Q9" s="566">
        <f t="shared" si="1"/>
        <v>3.7532632227498166E-3</v>
      </c>
      <c r="S9" s="117"/>
    </row>
    <row r="10" spans="1:19">
      <c r="A10" s="267" t="s">
        <v>180</v>
      </c>
      <c r="B10" s="39">
        <v>166373.14000000001</v>
      </c>
      <c r="C10" s="39">
        <v>197061.66</v>
      </c>
      <c r="D10" s="39">
        <v>115996.5</v>
      </c>
      <c r="E10" s="39">
        <v>137946.45000000001</v>
      </c>
      <c r="F10" s="39">
        <v>311215.01</v>
      </c>
      <c r="G10" s="39">
        <v>329006.86</v>
      </c>
      <c r="H10" s="39">
        <v>382211.51</v>
      </c>
      <c r="I10" s="39">
        <v>408932.9</v>
      </c>
      <c r="J10" s="39">
        <v>306841.73</v>
      </c>
      <c r="K10" s="39">
        <v>314255</v>
      </c>
      <c r="L10" s="39">
        <v>412864.14</v>
      </c>
      <c r="M10" s="375">
        <v>294724</v>
      </c>
      <c r="N10" s="535">
        <f t="shared" si="2"/>
        <v>3377428.9000000004</v>
      </c>
      <c r="O10" s="388">
        <f>SUM('RC 2014'!B10:M10)</f>
        <v>3187193.15</v>
      </c>
      <c r="P10" s="527">
        <f t="shared" si="0"/>
        <v>5.9687549843033594E-2</v>
      </c>
      <c r="Q10" s="566">
        <f t="shared" si="1"/>
        <v>0.16205272152238026</v>
      </c>
      <c r="S10" s="117"/>
    </row>
    <row r="11" spans="1:19">
      <c r="A11" s="267" t="s">
        <v>183</v>
      </c>
      <c r="B11" s="39">
        <v>10635.31</v>
      </c>
      <c r="C11" s="39">
        <v>60043.69</v>
      </c>
      <c r="D11" s="39">
        <v>50803.73</v>
      </c>
      <c r="E11" s="39">
        <v>45967.519999999997</v>
      </c>
      <c r="F11" s="39">
        <v>48327.67</v>
      </c>
      <c r="G11" s="39">
        <v>39031.71</v>
      </c>
      <c r="H11" s="39">
        <v>8448.26</v>
      </c>
      <c r="I11" s="39">
        <v>14891.22</v>
      </c>
      <c r="J11" s="39">
        <v>13443.62</v>
      </c>
      <c r="K11" s="39">
        <v>9802.33</v>
      </c>
      <c r="L11" s="39">
        <v>17433.14</v>
      </c>
      <c r="M11" s="375">
        <v>7059</v>
      </c>
      <c r="N11" s="535">
        <f t="shared" si="2"/>
        <v>325887.19999999995</v>
      </c>
      <c r="O11" s="388">
        <f>SUM('RC 2014'!B11:M11)</f>
        <v>286824.91000000003</v>
      </c>
      <c r="P11" s="527">
        <f t="shared" si="0"/>
        <v>0.13618862462120163</v>
      </c>
      <c r="Q11" s="566">
        <f t="shared" si="1"/>
        <v>1.563642321806041E-2</v>
      </c>
      <c r="S11" s="117"/>
    </row>
    <row r="12" spans="1:19">
      <c r="A12" s="267" t="s">
        <v>188</v>
      </c>
      <c r="B12" s="39">
        <v>31762.16</v>
      </c>
      <c r="C12" s="39">
        <v>55694.81</v>
      </c>
      <c r="D12" s="39">
        <v>31353.01</v>
      </c>
      <c r="E12" s="39">
        <v>28904.81</v>
      </c>
      <c r="F12" s="39">
        <v>56771.51</v>
      </c>
      <c r="G12" s="39">
        <v>45985.55</v>
      </c>
      <c r="H12" s="39">
        <v>53125.09</v>
      </c>
      <c r="I12" s="39">
        <v>82116.98</v>
      </c>
      <c r="J12" s="39">
        <v>55262.45</v>
      </c>
      <c r="K12" s="39">
        <v>57532.39</v>
      </c>
      <c r="L12" s="39">
        <v>99981.3</v>
      </c>
      <c r="M12" s="375">
        <v>45220</v>
      </c>
      <c r="N12" s="535">
        <f t="shared" si="2"/>
        <v>643710.06000000006</v>
      </c>
      <c r="O12" s="388">
        <f>SUM('RC 2014'!B12:M12)</f>
        <v>579456.39999999991</v>
      </c>
      <c r="P12" s="527">
        <f t="shared" si="0"/>
        <v>0.1108860994545926</v>
      </c>
      <c r="Q12" s="566">
        <f t="shared" si="1"/>
        <v>3.0885910609201778E-2</v>
      </c>
      <c r="S12" s="117"/>
    </row>
    <row r="13" spans="1:19">
      <c r="A13" s="267" t="s">
        <v>286</v>
      </c>
      <c r="B13" s="39">
        <v>3821.74</v>
      </c>
      <c r="C13" s="39">
        <v>4823.83</v>
      </c>
      <c r="D13" s="39">
        <v>3471.07</v>
      </c>
      <c r="E13" s="39">
        <v>3334.9</v>
      </c>
      <c r="F13" s="39">
        <v>6401.09</v>
      </c>
      <c r="G13" s="39">
        <v>7914.7</v>
      </c>
      <c r="H13" s="39">
        <v>9917.0400000000009</v>
      </c>
      <c r="I13" s="39">
        <v>15799.23</v>
      </c>
      <c r="J13" s="39">
        <v>10218.35</v>
      </c>
      <c r="K13" s="39">
        <v>11287.14</v>
      </c>
      <c r="L13" s="39">
        <v>14428.88</v>
      </c>
      <c r="M13" s="375">
        <v>9578</v>
      </c>
      <c r="N13" s="535">
        <f t="shared" si="2"/>
        <v>100995.97</v>
      </c>
      <c r="O13" s="388">
        <f>SUM('RC 2014'!B13:M13)</f>
        <v>79494.23000000001</v>
      </c>
      <c r="P13" s="527">
        <f t="shared" si="0"/>
        <v>0.27048176955736269</v>
      </c>
      <c r="Q13" s="566">
        <f t="shared" si="1"/>
        <v>4.8458967711482153E-3</v>
      </c>
      <c r="S13" s="117"/>
    </row>
    <row r="14" spans="1:19">
      <c r="A14" s="267" t="s">
        <v>287</v>
      </c>
      <c r="B14" s="39">
        <v>8002.15</v>
      </c>
      <c r="C14" s="39">
        <v>15311.7</v>
      </c>
      <c r="D14" s="39">
        <v>8526.57</v>
      </c>
      <c r="E14" s="39">
        <v>4229</v>
      </c>
      <c r="F14" s="39">
        <v>12840.51</v>
      </c>
      <c r="G14" s="39">
        <v>9902.9699999999993</v>
      </c>
      <c r="H14" s="39">
        <v>15023.69</v>
      </c>
      <c r="I14" s="39">
        <v>53335.42</v>
      </c>
      <c r="J14" s="39">
        <v>47608.01</v>
      </c>
      <c r="K14" s="39">
        <v>39679.56</v>
      </c>
      <c r="L14" s="39">
        <v>73153.45</v>
      </c>
      <c r="M14" s="375">
        <v>17094</v>
      </c>
      <c r="N14" s="535">
        <f t="shared" si="2"/>
        <v>304707.02999999997</v>
      </c>
      <c r="O14" s="388">
        <f>SUM('RC 2014'!B14:M14)</f>
        <v>272423.74</v>
      </c>
      <c r="P14" s="527">
        <f t="shared" si="0"/>
        <v>0.11850395270250669</v>
      </c>
      <c r="Q14" s="566">
        <f t="shared" si="1"/>
        <v>1.4620175565650415E-2</v>
      </c>
      <c r="S14" s="117"/>
    </row>
    <row r="15" spans="1:19">
      <c r="A15" s="267" t="s">
        <v>288</v>
      </c>
      <c r="B15" s="39">
        <v>62903.75</v>
      </c>
      <c r="C15" s="39">
        <v>116673.69</v>
      </c>
      <c r="D15" s="39">
        <v>116182.76</v>
      </c>
      <c r="E15" s="39">
        <v>157192.99</v>
      </c>
      <c r="F15" s="39">
        <v>165401.57</v>
      </c>
      <c r="G15" s="39">
        <v>44402.74</v>
      </c>
      <c r="H15" s="39">
        <v>12595.46</v>
      </c>
      <c r="I15" s="39">
        <v>12364.77</v>
      </c>
      <c r="J15" s="39">
        <v>8593.1200000000008</v>
      </c>
      <c r="K15" s="39">
        <v>6451.84</v>
      </c>
      <c r="L15" s="39">
        <v>8994.2900000000009</v>
      </c>
      <c r="M15" s="375">
        <v>7430</v>
      </c>
      <c r="N15" s="535">
        <f t="shared" si="2"/>
        <v>719186.98</v>
      </c>
      <c r="O15" s="388">
        <f>SUM('RC 2014'!B15:M15)</f>
        <v>696708.42000000016</v>
      </c>
      <c r="P15" s="527">
        <f>N15/O15-1</f>
        <v>3.2263941922791473E-2</v>
      </c>
      <c r="Q15" s="566">
        <f t="shared" si="1"/>
        <v>3.4507375534230091E-2</v>
      </c>
      <c r="S15" s="117"/>
    </row>
    <row r="16" spans="1:19" ht="12.75" customHeight="1">
      <c r="A16" s="267" t="s">
        <v>209</v>
      </c>
      <c r="B16" s="39">
        <v>28.71</v>
      </c>
      <c r="C16" s="39">
        <v>0.5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27">
        <v>0</v>
      </c>
      <c r="L16" s="39">
        <v>0</v>
      </c>
      <c r="M16" s="531">
        <v>0</v>
      </c>
      <c r="N16" s="535">
        <f t="shared" si="2"/>
        <v>29.21</v>
      </c>
      <c r="O16" s="388">
        <f>SUM('RC 2014'!B16:M16)</f>
        <v>5.88</v>
      </c>
      <c r="P16" s="527">
        <v>0</v>
      </c>
      <c r="Q16" s="566">
        <f t="shared" si="1"/>
        <v>1.4015276518977875E-6</v>
      </c>
      <c r="S16" s="117"/>
    </row>
    <row r="17" spans="1:19">
      <c r="A17" s="267" t="s">
        <v>289</v>
      </c>
      <c r="B17" s="39">
        <v>582786.21</v>
      </c>
      <c r="C17" s="39">
        <v>1902272.29</v>
      </c>
      <c r="D17" s="39">
        <v>1806836.27</v>
      </c>
      <c r="E17" s="39">
        <v>1632410.35</v>
      </c>
      <c r="F17" s="39">
        <v>1927510.94</v>
      </c>
      <c r="G17" s="327">
        <v>568668.55000000005</v>
      </c>
      <c r="H17" s="327">
        <v>403143.82</v>
      </c>
      <c r="I17" s="39">
        <v>733240.88</v>
      </c>
      <c r="J17" s="39">
        <v>771775.72</v>
      </c>
      <c r="K17" s="39">
        <v>747124.55</v>
      </c>
      <c r="L17" s="39">
        <v>780447.46</v>
      </c>
      <c r="M17" s="375">
        <v>586324</v>
      </c>
      <c r="N17" s="535">
        <f t="shared" si="2"/>
        <v>12442541.040000003</v>
      </c>
      <c r="O17" s="388">
        <f>SUM('RC 2014'!B17:M17)</f>
        <v>11315253.989999998</v>
      </c>
      <c r="P17" s="527">
        <f t="shared" si="0"/>
        <v>9.9625430502599421E-2</v>
      </c>
      <c r="Q17" s="566">
        <f t="shared" si="1"/>
        <v>0.59700668700558224</v>
      </c>
      <c r="R17" s="611"/>
      <c r="S17" s="117"/>
    </row>
    <row r="18" spans="1:19">
      <c r="A18" s="267" t="s">
        <v>290</v>
      </c>
      <c r="B18" s="39">
        <v>2559.35</v>
      </c>
      <c r="C18" s="39">
        <v>4942.12</v>
      </c>
      <c r="D18" s="39">
        <v>5134.28</v>
      </c>
      <c r="E18" s="39">
        <v>3736.82</v>
      </c>
      <c r="F18" s="39">
        <v>3896.64</v>
      </c>
      <c r="G18" s="327">
        <v>1407.86</v>
      </c>
      <c r="H18" s="39">
        <v>1631.38</v>
      </c>
      <c r="I18" s="39">
        <v>2487.9699999999998</v>
      </c>
      <c r="J18" s="39">
        <v>3219.24</v>
      </c>
      <c r="K18" s="327">
        <v>2958</v>
      </c>
      <c r="L18" s="39">
        <v>2779.71</v>
      </c>
      <c r="M18" s="375">
        <v>3177</v>
      </c>
      <c r="N18" s="535">
        <f t="shared" si="2"/>
        <v>37930.370000000003</v>
      </c>
      <c r="O18" s="388">
        <f>SUM('RC 2014'!B18:M18)</f>
        <v>38806.119999999995</v>
      </c>
      <c r="P18" s="619">
        <f t="shared" si="0"/>
        <v>-2.2567316701592288E-2</v>
      </c>
      <c r="Q18" s="566">
        <f t="shared" si="1"/>
        <v>1.8199405135814544E-3</v>
      </c>
      <c r="R18" s="612"/>
      <c r="S18" s="117"/>
    </row>
    <row r="19" spans="1:19">
      <c r="A19" s="267" t="s">
        <v>230</v>
      </c>
      <c r="B19" s="39">
        <v>24921.31</v>
      </c>
      <c r="C19" s="39">
        <v>38801.68</v>
      </c>
      <c r="D19" s="39">
        <v>40786.22</v>
      </c>
      <c r="E19" s="39">
        <v>29051.31</v>
      </c>
      <c r="F19" s="39">
        <v>38992.699999999997</v>
      </c>
      <c r="G19" s="327">
        <v>23663.85</v>
      </c>
      <c r="H19" s="39">
        <v>22770.720000000001</v>
      </c>
      <c r="I19" s="39">
        <v>62021.96</v>
      </c>
      <c r="J19" s="39">
        <v>64964.69</v>
      </c>
      <c r="K19" s="327">
        <v>47187</v>
      </c>
      <c r="L19" s="39">
        <v>43240.24</v>
      </c>
      <c r="M19" s="375">
        <v>23788</v>
      </c>
      <c r="N19" s="535">
        <f t="shared" si="2"/>
        <v>460189.68000000005</v>
      </c>
      <c r="O19" s="388">
        <f>SUM('RC 2014'!B19:M19)</f>
        <v>417286.48000000004</v>
      </c>
      <c r="P19" s="527">
        <f t="shared" si="0"/>
        <v>0.10281473773125849</v>
      </c>
      <c r="Q19" s="566">
        <f t="shared" si="1"/>
        <v>2.2080402657925172E-2</v>
      </c>
      <c r="S19" s="117"/>
    </row>
    <row r="20" spans="1:19" ht="13" thickBot="1">
      <c r="A20" s="296" t="s">
        <v>238</v>
      </c>
      <c r="B20" s="268">
        <v>53921.16</v>
      </c>
      <c r="C20" s="376">
        <v>62570.33</v>
      </c>
      <c r="D20" s="376">
        <v>28715.88</v>
      </c>
      <c r="E20" s="376">
        <v>44430.48</v>
      </c>
      <c r="F20" s="376">
        <v>105281.13</v>
      </c>
      <c r="G20" s="376">
        <v>121869.73</v>
      </c>
      <c r="H20" s="39">
        <v>107819.03</v>
      </c>
      <c r="I20" s="376">
        <v>196878.63</v>
      </c>
      <c r="J20" s="376">
        <v>149052.57999999999</v>
      </c>
      <c r="K20" s="376">
        <v>123155</v>
      </c>
      <c r="L20" s="39">
        <v>170290.95</v>
      </c>
      <c r="M20" s="375">
        <v>98231</v>
      </c>
      <c r="N20" s="535">
        <f>SUM(B20:M20)</f>
        <v>1262215.8999999999</v>
      </c>
      <c r="O20" s="388">
        <f>SUM('RC 2014'!B20:M20)</f>
        <v>1108322.47</v>
      </c>
      <c r="P20" s="528">
        <f t="shared" si="0"/>
        <v>0.13885257600163969</v>
      </c>
      <c r="Q20" s="631">
        <f t="shared" si="1"/>
        <v>6.0562495258988436E-2</v>
      </c>
      <c r="S20" s="117"/>
    </row>
    <row r="21" spans="1:19" ht="13" thickBot="1">
      <c r="A21" s="470" t="s">
        <v>54</v>
      </c>
      <c r="B21" s="610">
        <f>SUM(B4:B20)</f>
        <v>997746.43000000017</v>
      </c>
      <c r="C21" s="609">
        <f>SUM(C4:C20)</f>
        <v>2527306.0900000003</v>
      </c>
      <c r="D21" s="609">
        <f t="shared" ref="D21:K21" si="3">SUM(D4:D20)</f>
        <v>2254241.63</v>
      </c>
      <c r="E21" s="609">
        <f t="shared" si="3"/>
        <v>2119200.9400000004</v>
      </c>
      <c r="F21" s="609">
        <f t="shared" si="3"/>
        <v>2754618.1</v>
      </c>
      <c r="G21" s="609">
        <f t="shared" si="3"/>
        <v>1287396.5500000003</v>
      </c>
      <c r="H21" s="609">
        <f t="shared" si="3"/>
        <v>1126351.0499999998</v>
      </c>
      <c r="I21" s="609">
        <f t="shared" si="3"/>
        <v>1753856.2200000002</v>
      </c>
      <c r="J21" s="609">
        <f t="shared" si="3"/>
        <v>1556038.88</v>
      </c>
      <c r="K21" s="609">
        <f t="shared" si="3"/>
        <v>1477485.94</v>
      </c>
      <c r="L21" s="576">
        <f>SUM(L4:L20)</f>
        <v>1799398.01</v>
      </c>
      <c r="M21" s="576">
        <f>SUM(M4:M20)</f>
        <v>1187904</v>
      </c>
      <c r="N21" s="536">
        <f>SUM(N4:N20)</f>
        <v>20841543.840000004</v>
      </c>
      <c r="O21" s="530">
        <f>SUM(O4:O20)</f>
        <v>19060288.939999998</v>
      </c>
      <c r="P21" s="445">
        <f>N21/O21-1</f>
        <v>9.3453719700012483E-2</v>
      </c>
      <c r="Q21" s="625">
        <f t="shared" si="1"/>
        <v>1</v>
      </c>
      <c r="S21" s="117"/>
    </row>
    <row r="22" spans="1:19" s="222" customFormat="1" ht="13" thickBot="1">
      <c r="A22" s="537" t="s">
        <v>265</v>
      </c>
      <c r="B22" s="538">
        <f>B21/'RC 2014'!B21-1</f>
        <v>0.12414866207465591</v>
      </c>
      <c r="C22" s="538">
        <f>C21/'RC 2014'!C21-1</f>
        <v>0.23667925258267086</v>
      </c>
      <c r="D22" s="538">
        <f>D21/'RC 2014'!D21-1</f>
        <v>7.3304557094522327E-2</v>
      </c>
      <c r="E22" s="538">
        <f>E21/'RC 2014'!E21-1</f>
        <v>-5.8992369191693594E-2</v>
      </c>
      <c r="F22" s="538">
        <f>F21/'RC 2014'!F21-1</f>
        <v>0.12993201201999249</v>
      </c>
      <c r="G22" s="538">
        <f>G21/'RC 2014'!G21-1</f>
        <v>0.24867169452516258</v>
      </c>
      <c r="H22" s="538">
        <f>H21/'RC 2014'!H21-1</f>
        <v>7.037113215881452E-2</v>
      </c>
      <c r="I22" s="538">
        <f>I21/'RC 2014'!I21-1</f>
        <v>1.6381477686340462E-2</v>
      </c>
      <c r="J22" s="538">
        <f>J21/'RC 2014'!J21-1</f>
        <v>0.13449969285063212</v>
      </c>
      <c r="K22" s="538">
        <f>K21/'RC 2014'!K21-1</f>
        <v>8.1248381816813264E-2</v>
      </c>
      <c r="L22" s="538">
        <f>L21/'RC 2014'!L21-1</f>
        <v>6.5950540705105531E-2</v>
      </c>
      <c r="M22" s="538">
        <f>M21/'RC 2014'!M21-1</f>
        <v>7.6084264025928716E-2</v>
      </c>
      <c r="N22" s="569"/>
      <c r="O22" s="570"/>
      <c r="P22" s="571"/>
      <c r="Q22" s="571"/>
    </row>
    <row r="24" spans="1:19">
      <c r="C24" s="243"/>
      <c r="H24" s="1"/>
      <c r="I24" s="1"/>
    </row>
    <row r="25" spans="1:19">
      <c r="H25" s="243"/>
      <c r="I25" s="1"/>
    </row>
    <row r="26" spans="1:19">
      <c r="A26" s="287"/>
      <c r="H26" s="243"/>
      <c r="I26" s="1"/>
      <c r="N26" s="100"/>
    </row>
    <row r="27" spans="1:19">
      <c r="A27" s="287"/>
      <c r="H27" s="243"/>
      <c r="I27" s="1"/>
    </row>
    <row r="28" spans="1:19">
      <c r="H28" s="243"/>
      <c r="I28" s="1"/>
    </row>
    <row r="29" spans="1:19">
      <c r="H29" s="1"/>
      <c r="I29" s="1"/>
    </row>
    <row r="31" spans="1:19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1">
    <mergeCell ref="A1:Q1"/>
  </mergeCells>
  <printOptions horizontalCentered="1"/>
  <pageMargins left="0.25" right="0.25" top="0.25" bottom="0.25" header="0" footer="0"/>
  <pageSetup scale="76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 enableFormatConditionsCalculation="0">
    <tabColor rgb="FF7030A0"/>
    <pageSetUpPr fitToPage="1"/>
  </sheetPr>
  <dimension ref="A1:P31"/>
  <sheetViews>
    <sheetView workbookViewId="0">
      <pane xSplit="1" topLeftCell="B1" activePane="topRight" state="frozen"/>
      <selection pane="topRight" activeCell="R10" sqref="R10"/>
    </sheetView>
  </sheetViews>
  <sheetFormatPr baseColWidth="10" defaultColWidth="8.83203125" defaultRowHeight="12" x14ac:dyDescent="0"/>
  <cols>
    <col min="1" max="1" width="10.83203125" bestFit="1" customWidth="1"/>
    <col min="2" max="2" width="9.6640625" bestFit="1" customWidth="1"/>
    <col min="3" max="7" width="11" bestFit="1" customWidth="1"/>
    <col min="8" max="9" width="11.1640625" bestFit="1" customWidth="1"/>
    <col min="10" max="10" width="10.83203125" bestFit="1" customWidth="1"/>
    <col min="11" max="13" width="9.6640625" customWidth="1"/>
    <col min="14" max="14" width="12.1640625" bestFit="1" customWidth="1"/>
    <col min="15" max="15" width="11.6640625" bestFit="1" customWidth="1"/>
  </cols>
  <sheetData>
    <row r="1" spans="1:16" ht="23">
      <c r="A1" s="711" t="s">
        <v>281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</row>
    <row r="2" spans="1:16" ht="13" thickBot="1"/>
    <row r="3" spans="1:16" ht="13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252" t="s">
        <v>13</v>
      </c>
      <c r="N3" s="533" t="s">
        <v>147</v>
      </c>
      <c r="O3" s="529" t="s">
        <v>127</v>
      </c>
      <c r="P3" s="526" t="s">
        <v>16</v>
      </c>
    </row>
    <row r="4" spans="1:16">
      <c r="A4" s="267" t="s">
        <v>176</v>
      </c>
      <c r="B4" s="39">
        <v>18721.37</v>
      </c>
      <c r="C4" s="39">
        <v>23570.7</v>
      </c>
      <c r="D4" s="39">
        <v>18333.63</v>
      </c>
      <c r="E4" s="39">
        <v>17192.900000000001</v>
      </c>
      <c r="F4" s="39">
        <v>27691.62</v>
      </c>
      <c r="G4" s="39">
        <v>29025.89</v>
      </c>
      <c r="H4" s="39">
        <v>36611.47</v>
      </c>
      <c r="I4" s="39">
        <v>52877.599999999999</v>
      </c>
      <c r="J4" s="39">
        <v>35140.76</v>
      </c>
      <c r="K4" s="39">
        <v>29488.57</v>
      </c>
      <c r="L4" s="39">
        <v>51145</v>
      </c>
      <c r="M4" s="375">
        <v>26459.41</v>
      </c>
      <c r="N4" s="534">
        <f>SUM(B4:M4)</f>
        <v>366258.92</v>
      </c>
      <c r="O4" s="388">
        <f>SUM('RC 2013'!B4:M4)</f>
        <v>360979.17000000004</v>
      </c>
      <c r="P4" s="527">
        <f t="shared" ref="P4:P20" si="0">N4/O4-1</f>
        <v>1.4626190203717027E-2</v>
      </c>
    </row>
    <row r="5" spans="1:16">
      <c r="A5" s="267" t="s">
        <v>282</v>
      </c>
      <c r="B5" s="39">
        <v>2159.41</v>
      </c>
      <c r="C5" s="39">
        <v>1267.32</v>
      </c>
      <c r="D5" s="39">
        <v>1440.79</v>
      </c>
      <c r="E5" s="39">
        <v>597.09</v>
      </c>
      <c r="F5" s="39">
        <v>3203.8</v>
      </c>
      <c r="G5" s="39">
        <v>4214.93</v>
      </c>
      <c r="H5" s="39">
        <v>3779.4</v>
      </c>
      <c r="I5" s="39">
        <v>5022.6099999999997</v>
      </c>
      <c r="J5" s="39">
        <v>2310.79</v>
      </c>
      <c r="K5" s="39">
        <v>5147.3500000000004</v>
      </c>
      <c r="L5" s="39">
        <v>5653.79</v>
      </c>
      <c r="M5" s="375">
        <v>2098.11</v>
      </c>
      <c r="N5" s="535">
        <f>SUM(B5:M5)</f>
        <v>36895.390000000007</v>
      </c>
      <c r="O5" s="388">
        <f>SUM('RC 2013'!B5:M5)</f>
        <v>36582.14</v>
      </c>
      <c r="P5" s="527">
        <f t="shared" si="0"/>
        <v>8.5629216880152015E-3</v>
      </c>
    </row>
    <row r="6" spans="1:16">
      <c r="A6" s="267" t="s">
        <v>283</v>
      </c>
      <c r="B6" s="39">
        <v>10622</v>
      </c>
      <c r="C6" s="39">
        <v>8695.89</v>
      </c>
      <c r="D6" s="39">
        <v>6049.21</v>
      </c>
      <c r="E6" s="39">
        <v>7023.13</v>
      </c>
      <c r="F6" s="39">
        <v>14607.35</v>
      </c>
      <c r="G6" s="39">
        <v>29415.19</v>
      </c>
      <c r="H6" s="39">
        <v>44218.01</v>
      </c>
      <c r="I6" s="39">
        <v>48758.82</v>
      </c>
      <c r="J6" s="39">
        <v>53805.3</v>
      </c>
      <c r="K6" s="39">
        <v>50591.65</v>
      </c>
      <c r="L6" s="39">
        <v>51103.77</v>
      </c>
      <c r="M6" s="375">
        <v>34791.65</v>
      </c>
      <c r="N6" s="535">
        <f t="shared" ref="N6:N20" si="1">SUM(B6:M6)</f>
        <v>359681.97000000009</v>
      </c>
      <c r="O6" s="388">
        <f>SUM('RC 2013'!B6:M6)</f>
        <v>339462.75</v>
      </c>
      <c r="P6" s="527">
        <f t="shared" si="0"/>
        <v>5.9562411486974831E-2</v>
      </c>
    </row>
    <row r="7" spans="1:16">
      <c r="A7" s="267" t="s">
        <v>178</v>
      </c>
      <c r="B7" s="268">
        <v>0</v>
      </c>
      <c r="C7" s="39">
        <v>292.45999999999998</v>
      </c>
      <c r="D7" s="39">
        <v>3577.85</v>
      </c>
      <c r="E7" s="39">
        <v>3838.29</v>
      </c>
      <c r="F7" s="39">
        <v>6892.56</v>
      </c>
      <c r="G7" s="39">
        <v>7816.46</v>
      </c>
      <c r="H7" s="39">
        <v>5164.78</v>
      </c>
      <c r="I7" s="39">
        <v>13424.83</v>
      </c>
      <c r="J7" s="39">
        <v>7147.24</v>
      </c>
      <c r="K7" s="39">
        <v>8916.02</v>
      </c>
      <c r="L7" s="39">
        <v>13460.04</v>
      </c>
      <c r="M7" s="375">
        <v>7084.26</v>
      </c>
      <c r="N7" s="535">
        <f t="shared" si="1"/>
        <v>77614.789999999994</v>
      </c>
      <c r="O7" s="388">
        <f>SUM('RC 2013'!B7:M7)</f>
        <v>0</v>
      </c>
      <c r="P7" s="527"/>
    </row>
    <row r="8" spans="1:16">
      <c r="A8" s="267" t="s">
        <v>284</v>
      </c>
      <c r="B8" s="39">
        <v>7440.76</v>
      </c>
      <c r="C8" s="39">
        <v>16844.75</v>
      </c>
      <c r="D8" s="39">
        <v>8559.2099999999991</v>
      </c>
      <c r="E8" s="39">
        <v>8508.52</v>
      </c>
      <c r="F8" s="39">
        <v>14477.87</v>
      </c>
      <c r="G8" s="39">
        <v>8405.85</v>
      </c>
      <c r="H8" s="39">
        <v>9069.86</v>
      </c>
      <c r="I8" s="39">
        <v>30145.77</v>
      </c>
      <c r="J8" s="39">
        <v>13152.37</v>
      </c>
      <c r="K8" s="39">
        <v>11858.76</v>
      </c>
      <c r="L8" s="39">
        <v>33198.86</v>
      </c>
      <c r="M8" s="375">
        <v>12443.38</v>
      </c>
      <c r="N8" s="535">
        <f t="shared" si="1"/>
        <v>174105.96000000002</v>
      </c>
      <c r="O8" s="388">
        <f>SUM('RC 2013'!B8:M8)</f>
        <v>180247.96</v>
      </c>
      <c r="P8" s="619">
        <f t="shared" si="0"/>
        <v>-3.4075281628707321E-2</v>
      </c>
    </row>
    <row r="9" spans="1:16">
      <c r="A9" s="267" t="s">
        <v>285</v>
      </c>
      <c r="B9" s="39">
        <v>1811</v>
      </c>
      <c r="C9" s="39">
        <v>2399.65</v>
      </c>
      <c r="D9" s="39">
        <v>1920.39</v>
      </c>
      <c r="E9" s="39">
        <v>1385.56</v>
      </c>
      <c r="F9" s="39">
        <v>3389.9</v>
      </c>
      <c r="G9" s="39">
        <v>2094.34</v>
      </c>
      <c r="H9" s="39">
        <v>7513.47</v>
      </c>
      <c r="I9" s="39">
        <v>11801.75</v>
      </c>
      <c r="J9" s="39">
        <v>6407.77</v>
      </c>
      <c r="K9" s="39">
        <v>6686.33</v>
      </c>
      <c r="L9" s="39">
        <v>13518.56</v>
      </c>
      <c r="M9" s="375">
        <v>5027.3999999999996</v>
      </c>
      <c r="N9" s="535">
        <f t="shared" si="1"/>
        <v>63956.12</v>
      </c>
      <c r="O9" s="388">
        <f>SUM('RC 2013'!B9:M9)</f>
        <v>58287.55</v>
      </c>
      <c r="P9" s="527">
        <f t="shared" si="0"/>
        <v>9.7251814495548317E-2</v>
      </c>
    </row>
    <row r="10" spans="1:16">
      <c r="A10" s="267" t="s">
        <v>180</v>
      </c>
      <c r="B10" s="39">
        <v>144771.66</v>
      </c>
      <c r="C10" s="39">
        <v>178255.9</v>
      </c>
      <c r="D10" s="39">
        <v>109432.07</v>
      </c>
      <c r="E10" s="39">
        <v>126834.99</v>
      </c>
      <c r="F10" s="39">
        <v>268248.61</v>
      </c>
      <c r="G10" s="39">
        <v>293485.12</v>
      </c>
      <c r="H10" s="39">
        <v>316748.36</v>
      </c>
      <c r="I10" s="39">
        <v>483074.51</v>
      </c>
      <c r="J10" s="39">
        <v>270728.39</v>
      </c>
      <c r="K10" s="39">
        <v>291354.33</v>
      </c>
      <c r="L10" s="39">
        <v>433832.5</v>
      </c>
      <c r="M10" s="375">
        <v>270426.71000000002</v>
      </c>
      <c r="N10" s="535">
        <f t="shared" si="1"/>
        <v>3187193.15</v>
      </c>
      <c r="O10" s="388">
        <f>SUM('RC 2013'!B10:M10)</f>
        <v>2863920.2</v>
      </c>
      <c r="P10" s="527">
        <f t="shared" si="0"/>
        <v>0.11287777850793468</v>
      </c>
    </row>
    <row r="11" spans="1:16">
      <c r="A11" s="267" t="s">
        <v>183</v>
      </c>
      <c r="B11" s="39">
        <v>16227.25</v>
      </c>
      <c r="C11" s="39">
        <v>59244.959999999999</v>
      </c>
      <c r="D11" s="39">
        <v>37286.79</v>
      </c>
      <c r="E11" s="39">
        <v>42151.74</v>
      </c>
      <c r="F11" s="39">
        <v>34374.14</v>
      </c>
      <c r="G11" s="39">
        <v>11289.24</v>
      </c>
      <c r="H11" s="39">
        <v>11253.68</v>
      </c>
      <c r="I11" s="39">
        <v>17984.150000000001</v>
      </c>
      <c r="J11" s="39">
        <v>12930.6</v>
      </c>
      <c r="K11" s="39">
        <v>15606.64</v>
      </c>
      <c r="L11" s="39">
        <v>16317.13</v>
      </c>
      <c r="M11" s="375">
        <v>12158.59</v>
      </c>
      <c r="N11" s="535">
        <f t="shared" si="1"/>
        <v>286824.91000000003</v>
      </c>
      <c r="O11" s="388">
        <f>SUM('RC 2013'!B11:M11)</f>
        <v>258666.18999999997</v>
      </c>
      <c r="P11" s="527">
        <f t="shared" si="0"/>
        <v>0.10886123153551708</v>
      </c>
    </row>
    <row r="12" spans="1:16">
      <c r="A12" s="267" t="s">
        <v>188</v>
      </c>
      <c r="B12" s="39">
        <v>28374.31</v>
      </c>
      <c r="C12" s="39">
        <v>45900.84</v>
      </c>
      <c r="D12" s="39">
        <v>32785</v>
      </c>
      <c r="E12" s="39">
        <v>29088.71</v>
      </c>
      <c r="F12" s="39">
        <v>52280.81</v>
      </c>
      <c r="G12" s="39">
        <v>36963.440000000002</v>
      </c>
      <c r="H12" s="39">
        <v>50782.99</v>
      </c>
      <c r="I12" s="39">
        <v>78380.97</v>
      </c>
      <c r="J12" s="39">
        <v>51904.07</v>
      </c>
      <c r="K12" s="39">
        <v>46554.54</v>
      </c>
      <c r="L12" s="39">
        <v>84839.08</v>
      </c>
      <c r="M12" s="375">
        <v>41601.64</v>
      </c>
      <c r="N12" s="535">
        <f t="shared" si="1"/>
        <v>579456.39999999991</v>
      </c>
      <c r="O12" s="388">
        <f>SUM('RC 2013'!B12:M12)</f>
        <v>579322.26000000013</v>
      </c>
      <c r="P12" s="527">
        <f t="shared" si="0"/>
        <v>2.3154642806200165E-4</v>
      </c>
    </row>
    <row r="13" spans="1:16">
      <c r="A13" s="267" t="s">
        <v>286</v>
      </c>
      <c r="B13" s="39">
        <v>4058.82</v>
      </c>
      <c r="C13" s="39">
        <v>2083.35</v>
      </c>
      <c r="D13" s="39">
        <v>2807.19</v>
      </c>
      <c r="E13" s="39">
        <v>2353.15</v>
      </c>
      <c r="F13" s="39">
        <v>5586.05</v>
      </c>
      <c r="G13" s="39">
        <v>5562.1</v>
      </c>
      <c r="H13" s="39">
        <v>8263.08</v>
      </c>
      <c r="I13" s="39">
        <v>11038.2</v>
      </c>
      <c r="J13" s="39">
        <v>8127.33</v>
      </c>
      <c r="K13" s="39">
        <v>8055.4</v>
      </c>
      <c r="L13" s="39">
        <v>13379.71</v>
      </c>
      <c r="M13" s="375">
        <v>8179.85</v>
      </c>
      <c r="N13" s="535">
        <f t="shared" si="1"/>
        <v>79494.23000000001</v>
      </c>
      <c r="O13" s="388">
        <f>SUM('RC 2013'!B13:M13)</f>
        <v>73244.08</v>
      </c>
      <c r="P13" s="527">
        <f t="shared" si="0"/>
        <v>8.5333176415076872E-2</v>
      </c>
    </row>
    <row r="14" spans="1:16">
      <c r="A14" s="267" t="s">
        <v>287</v>
      </c>
      <c r="B14" s="39">
        <v>6607.56</v>
      </c>
      <c r="C14" s="39">
        <v>12861.19</v>
      </c>
      <c r="D14" s="39">
        <v>3750.37</v>
      </c>
      <c r="E14" s="39">
        <v>7570.34</v>
      </c>
      <c r="F14" s="39">
        <v>13535.1</v>
      </c>
      <c r="G14" s="39">
        <v>6518.01</v>
      </c>
      <c r="H14" s="39">
        <v>17395.400000000001</v>
      </c>
      <c r="I14" s="39">
        <v>56089.37</v>
      </c>
      <c r="J14" s="39">
        <v>31115.13</v>
      </c>
      <c r="K14" s="39">
        <v>33732.5</v>
      </c>
      <c r="L14" s="39">
        <v>66180.06</v>
      </c>
      <c r="M14" s="375">
        <v>17068.71</v>
      </c>
      <c r="N14" s="535">
        <f t="shared" si="1"/>
        <v>272423.74</v>
      </c>
      <c r="O14" s="388">
        <f>SUM('RC 2013'!B14:M14)</f>
        <v>254352.43999999997</v>
      </c>
      <c r="P14" s="527">
        <f t="shared" si="0"/>
        <v>7.104826672785225E-2</v>
      </c>
    </row>
    <row r="15" spans="1:16">
      <c r="A15" s="267" t="s">
        <v>288</v>
      </c>
      <c r="B15" s="39">
        <v>54557.29</v>
      </c>
      <c r="C15" s="39">
        <v>106909.47</v>
      </c>
      <c r="D15" s="39">
        <v>120030.74</v>
      </c>
      <c r="E15" s="39">
        <v>146171.95000000001</v>
      </c>
      <c r="F15" s="39">
        <v>164218.82</v>
      </c>
      <c r="G15" s="39">
        <v>42351.040000000001</v>
      </c>
      <c r="H15" s="39">
        <v>6489.54</v>
      </c>
      <c r="I15" s="39">
        <v>10999.91</v>
      </c>
      <c r="J15" s="39">
        <v>7720.47</v>
      </c>
      <c r="K15" s="39">
        <v>6110.24</v>
      </c>
      <c r="L15" s="39">
        <v>9189.14</v>
      </c>
      <c r="M15" s="375">
        <v>21959.81</v>
      </c>
      <c r="N15" s="535">
        <f t="shared" si="1"/>
        <v>696708.42000000016</v>
      </c>
      <c r="O15" s="388">
        <f>SUM('RC 2013'!B15:M15)</f>
        <v>644062.40000000014</v>
      </c>
      <c r="P15" s="527">
        <f>N15/O15-1</f>
        <v>8.1740558057728618E-2</v>
      </c>
    </row>
    <row r="16" spans="1:16">
      <c r="A16" s="267" t="s">
        <v>209</v>
      </c>
      <c r="B16" s="268">
        <v>0</v>
      </c>
      <c r="C16" s="268">
        <v>0</v>
      </c>
      <c r="D16" s="268">
        <v>0</v>
      </c>
      <c r="E16" s="268">
        <v>0</v>
      </c>
      <c r="F16" s="268">
        <v>0</v>
      </c>
      <c r="G16" s="268">
        <v>0</v>
      </c>
      <c r="H16" s="268">
        <v>0</v>
      </c>
      <c r="I16" s="327">
        <v>5.21</v>
      </c>
      <c r="J16" s="327">
        <v>0</v>
      </c>
      <c r="K16" s="327">
        <v>0</v>
      </c>
      <c r="L16" s="327">
        <v>0.67</v>
      </c>
      <c r="M16" s="531">
        <v>0</v>
      </c>
      <c r="N16" s="535">
        <f t="shared" si="1"/>
        <v>5.88</v>
      </c>
      <c r="O16" s="388">
        <f>SUM('RC 2013'!B17:M17)</f>
        <v>2.09</v>
      </c>
      <c r="P16" s="527">
        <f t="shared" ref="P16" si="2">N16/O16-1</f>
        <v>1.8133971291866029</v>
      </c>
    </row>
    <row r="17" spans="1:16">
      <c r="A17" s="267" t="s">
        <v>289</v>
      </c>
      <c r="B17" s="39">
        <v>523691.79</v>
      </c>
      <c r="C17" s="39">
        <v>1486482.17</v>
      </c>
      <c r="D17" s="39">
        <v>1693834.47</v>
      </c>
      <c r="E17" s="39">
        <v>1797227.2</v>
      </c>
      <c r="F17" s="39">
        <v>1708280.1</v>
      </c>
      <c r="G17" s="327">
        <v>433658.09</v>
      </c>
      <c r="H17" s="327">
        <v>402368.32</v>
      </c>
      <c r="I17" s="39">
        <v>667587.83999999997</v>
      </c>
      <c r="J17" s="39">
        <v>708269.84</v>
      </c>
      <c r="K17" s="39">
        <v>683754.45</v>
      </c>
      <c r="L17" s="39">
        <v>672733.76</v>
      </c>
      <c r="M17" s="375">
        <v>537365.96</v>
      </c>
      <c r="N17" s="535">
        <f t="shared" si="1"/>
        <v>11315253.989999998</v>
      </c>
      <c r="O17" s="388">
        <f>SUM('RC 2013'!B18:M18)</f>
        <v>8533827.370000001</v>
      </c>
      <c r="P17" s="527">
        <f t="shared" si="0"/>
        <v>0.32592956236469983</v>
      </c>
    </row>
    <row r="18" spans="1:16">
      <c r="A18" s="267" t="s">
        <v>290</v>
      </c>
      <c r="B18" s="39">
        <v>2127.09</v>
      </c>
      <c r="C18" s="39">
        <v>5168.76</v>
      </c>
      <c r="D18" s="39">
        <v>4499.49</v>
      </c>
      <c r="E18" s="39">
        <v>4238.6400000000003</v>
      </c>
      <c r="F18" s="39">
        <v>4300.96</v>
      </c>
      <c r="G18" s="327">
        <v>2534.73</v>
      </c>
      <c r="H18" s="39">
        <v>1797.7</v>
      </c>
      <c r="I18" s="39">
        <v>2818.57</v>
      </c>
      <c r="J18" s="39">
        <v>3170.08</v>
      </c>
      <c r="K18" s="39">
        <v>3306.04</v>
      </c>
      <c r="L18" s="39">
        <v>2332.1</v>
      </c>
      <c r="M18" s="375">
        <v>2511.96</v>
      </c>
      <c r="N18" s="535">
        <f t="shared" si="1"/>
        <v>38806.119999999995</v>
      </c>
      <c r="O18" s="388">
        <f>SUM('RC 2013'!B19:M19)</f>
        <v>36455.519999999997</v>
      </c>
      <c r="P18" s="527">
        <f t="shared" si="0"/>
        <v>6.4478575535337201E-2</v>
      </c>
    </row>
    <row r="19" spans="1:16">
      <c r="A19" s="267" t="s">
        <v>230</v>
      </c>
      <c r="B19" s="39">
        <v>24838.21</v>
      </c>
      <c r="C19" s="39">
        <v>35832.06</v>
      </c>
      <c r="D19" s="39">
        <v>34202.46</v>
      </c>
      <c r="E19" s="39">
        <v>31517.42</v>
      </c>
      <c r="F19" s="39">
        <v>33114.32</v>
      </c>
      <c r="G19" s="327">
        <v>24438.78</v>
      </c>
      <c r="H19" s="39">
        <v>29161.51</v>
      </c>
      <c r="I19" s="39">
        <v>40122.78</v>
      </c>
      <c r="J19" s="39">
        <v>44880.7</v>
      </c>
      <c r="K19" s="39">
        <v>45881.62</v>
      </c>
      <c r="L19" s="39">
        <v>46431.91</v>
      </c>
      <c r="M19" s="375">
        <v>26864.71</v>
      </c>
      <c r="N19" s="535">
        <f t="shared" si="1"/>
        <v>417286.48000000004</v>
      </c>
      <c r="O19" s="388">
        <f>SUM('RC 2013'!B20:M20)</f>
        <v>393699.47999999992</v>
      </c>
      <c r="P19" s="527">
        <f t="shared" si="0"/>
        <v>5.991117895304332E-2</v>
      </c>
    </row>
    <row r="20" spans="1:16" ht="13" thickBot="1">
      <c r="A20" s="296" t="s">
        <v>238</v>
      </c>
      <c r="B20" s="376">
        <v>41548.85</v>
      </c>
      <c r="C20" s="376">
        <v>57813.47</v>
      </c>
      <c r="D20" s="376">
        <v>21771.77</v>
      </c>
      <c r="E20" s="376">
        <v>26355.37</v>
      </c>
      <c r="F20" s="376">
        <v>83659.8</v>
      </c>
      <c r="G20" s="376">
        <v>93239.63</v>
      </c>
      <c r="H20" s="39">
        <v>101681.97</v>
      </c>
      <c r="I20" s="376">
        <v>195455.64</v>
      </c>
      <c r="J20" s="376">
        <v>114753.11</v>
      </c>
      <c r="K20" s="376">
        <v>119418.59</v>
      </c>
      <c r="L20" s="376">
        <v>174752.87</v>
      </c>
      <c r="M20" s="532">
        <v>77871.399999999994</v>
      </c>
      <c r="N20" s="535">
        <f t="shared" si="1"/>
        <v>1108322.47</v>
      </c>
      <c r="O20" s="388">
        <f>SUM('RC 2013'!B22:M22)</f>
        <v>953075.10999999987</v>
      </c>
      <c r="P20" s="528">
        <f t="shared" si="0"/>
        <v>0.1628910023681136</v>
      </c>
    </row>
    <row r="21" spans="1:16" ht="13" thickBot="1">
      <c r="A21" s="575" t="s">
        <v>54</v>
      </c>
      <c r="B21" s="503">
        <f t="shared" ref="B21:O21" si="3">SUM(B4:B20)</f>
        <v>887557.36999999988</v>
      </c>
      <c r="C21" s="503">
        <f t="shared" si="3"/>
        <v>2043622.94</v>
      </c>
      <c r="D21" s="503">
        <f t="shared" si="3"/>
        <v>2100281.4299999997</v>
      </c>
      <c r="E21" s="503">
        <f t="shared" si="3"/>
        <v>2252055</v>
      </c>
      <c r="F21" s="503">
        <f t="shared" si="3"/>
        <v>2437861.8099999996</v>
      </c>
      <c r="G21" s="503">
        <f t="shared" si="3"/>
        <v>1031012.84</v>
      </c>
      <c r="H21" s="609">
        <f t="shared" si="3"/>
        <v>1052299.54</v>
      </c>
      <c r="I21" s="503">
        <f t="shared" si="3"/>
        <v>1725588.5300000003</v>
      </c>
      <c r="J21" s="503">
        <f t="shared" si="3"/>
        <v>1371563.9500000002</v>
      </c>
      <c r="K21" s="503">
        <f t="shared" si="3"/>
        <v>1366463.0300000003</v>
      </c>
      <c r="L21" s="503">
        <f t="shared" si="3"/>
        <v>1688068.9500000002</v>
      </c>
      <c r="M21" s="503">
        <f t="shared" si="3"/>
        <v>1103913.5499999998</v>
      </c>
      <c r="N21" s="536">
        <f t="shared" si="3"/>
        <v>19060288.939999998</v>
      </c>
      <c r="O21" s="530">
        <f t="shared" si="3"/>
        <v>15566186.710000001</v>
      </c>
      <c r="P21" s="445">
        <f>N21/O21-1</f>
        <v>0.22446744954917719</v>
      </c>
    </row>
    <row r="22" spans="1:16" s="222" customFormat="1" ht="13" thickBot="1">
      <c r="A22" s="537" t="s">
        <v>265</v>
      </c>
      <c r="B22" s="538">
        <f>B21/'RC 2013'!B23-1</f>
        <v>0.19123205992974235</v>
      </c>
      <c r="C22" s="538">
        <f>C21/'RC 2013'!C23-1</f>
        <v>0.27625626256121105</v>
      </c>
      <c r="D22" s="538">
        <f>D21/'RC 2013'!D23-1</f>
        <v>0.33640768782971064</v>
      </c>
      <c r="E22" s="538">
        <f>E21/'RC 2013'!E23-1</f>
        <v>0.53450759954164573</v>
      </c>
      <c r="F22" s="538">
        <f>F21/'RC 2013'!F23-1</f>
        <v>0.3798061306642706</v>
      </c>
      <c r="G22" s="538">
        <f>G21/'RC 2013'!G23-1</f>
        <v>8.9889314714464152E-2</v>
      </c>
      <c r="H22" s="538">
        <f>H21/'RC 2013'!H23-1</f>
        <v>2.3798783746360685E-2</v>
      </c>
      <c r="I22" s="538">
        <f>I21/'RC 2013'!I23-1</f>
        <v>0.13527246914449265</v>
      </c>
      <c r="J22" s="538">
        <f>J21/'RC 2013'!J23-1</f>
        <v>0.16483874776067764</v>
      </c>
      <c r="K22" s="538">
        <f>K21/'RC 2013'!K23-1</f>
        <v>9.6609294245134869E-2</v>
      </c>
      <c r="L22" s="538">
        <f>L21/'RC 2013'!L23-1</f>
        <v>6.5998493517693158E-2</v>
      </c>
      <c r="M22" s="538">
        <f>M21/'RC 2013'!M23-1</f>
        <v>0.20919151943351411</v>
      </c>
      <c r="N22" s="569"/>
      <c r="O22" s="570"/>
      <c r="P22" s="571"/>
    </row>
    <row r="24" spans="1:16">
      <c r="C24" s="243"/>
      <c r="H24" s="1"/>
      <c r="I24" s="1"/>
    </row>
    <row r="25" spans="1:16">
      <c r="H25" s="243"/>
      <c r="I25" s="1"/>
    </row>
    <row r="26" spans="1:16">
      <c r="A26" s="287"/>
      <c r="H26" s="243"/>
      <c r="I26" s="1"/>
      <c r="N26" s="100"/>
    </row>
    <row r="27" spans="1:16">
      <c r="A27" s="287"/>
      <c r="H27" s="243"/>
      <c r="I27" s="1"/>
    </row>
    <row r="28" spans="1:16">
      <c r="H28" s="243"/>
      <c r="I28" s="1"/>
    </row>
    <row r="29" spans="1:16">
      <c r="H29" s="1"/>
      <c r="I29" s="1"/>
    </row>
    <row r="31" spans="1:16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1">
    <mergeCell ref="A1:P1"/>
  </mergeCells>
  <printOptions horizontalCentered="1"/>
  <pageMargins left="0" right="0" top="1" bottom="1" header="0.5" footer="0.5"/>
  <pageSetup scale="83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 enableFormatConditionsCalculation="0">
    <tabColor rgb="FF7030A0"/>
    <pageSetUpPr fitToPage="1"/>
  </sheetPr>
  <dimension ref="A1:P33"/>
  <sheetViews>
    <sheetView workbookViewId="0">
      <selection activeCell="O6" sqref="O6"/>
    </sheetView>
  </sheetViews>
  <sheetFormatPr baseColWidth="10" defaultColWidth="8.83203125" defaultRowHeight="12" x14ac:dyDescent="0"/>
  <cols>
    <col min="1" max="1" width="10.83203125" bestFit="1" customWidth="1"/>
    <col min="8" max="8" width="10" bestFit="1" customWidth="1"/>
    <col min="14" max="14" width="12" bestFit="1" customWidth="1"/>
    <col min="15" max="15" width="9.5" bestFit="1" customWidth="1"/>
  </cols>
  <sheetData>
    <row r="1" spans="1:16" ht="23">
      <c r="A1" s="711" t="s">
        <v>292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</row>
    <row r="2" spans="1:16" ht="13" thickBot="1"/>
    <row r="3" spans="1:16" ht="13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310" t="s">
        <v>13</v>
      </c>
      <c r="N3" s="25" t="s">
        <v>127</v>
      </c>
      <c r="O3" s="251" t="s">
        <v>119</v>
      </c>
      <c r="P3" s="253" t="s">
        <v>16</v>
      </c>
    </row>
    <row r="4" spans="1:16">
      <c r="A4" s="267" t="s">
        <v>176</v>
      </c>
      <c r="B4" s="19">
        <v>18366.78</v>
      </c>
      <c r="C4" s="19">
        <v>18311.11</v>
      </c>
      <c r="D4" s="19">
        <v>17012.38</v>
      </c>
      <c r="E4" s="19">
        <v>21031.64</v>
      </c>
      <c r="F4" s="19">
        <v>30504.98</v>
      </c>
      <c r="G4" s="19">
        <v>27727.39</v>
      </c>
      <c r="H4" s="19">
        <v>31975.11</v>
      </c>
      <c r="I4" s="19">
        <v>41721.96</v>
      </c>
      <c r="J4" s="19">
        <v>36647.379999999997</v>
      </c>
      <c r="K4" s="19">
        <v>44327.76</v>
      </c>
      <c r="L4" s="19">
        <v>46252.9</v>
      </c>
      <c r="M4" s="51">
        <v>27099.78</v>
      </c>
      <c r="N4" s="106">
        <f t="shared" ref="N4:N22" si="0">SUM(B4:M4)</f>
        <v>360979.17000000004</v>
      </c>
      <c r="O4" s="19">
        <f>SUM('RC 2012'!B4:M4)</f>
        <v>342422.7</v>
      </c>
      <c r="P4" s="22">
        <f t="shared" ref="P4:P22" si="1">N4/O4-1</f>
        <v>5.4191705164406523E-2</v>
      </c>
    </row>
    <row r="5" spans="1:16">
      <c r="A5" s="267" t="s">
        <v>282</v>
      </c>
      <c r="B5" s="19">
        <v>842.63</v>
      </c>
      <c r="C5" s="19">
        <v>1300.1199999999999</v>
      </c>
      <c r="D5" s="19">
        <v>1405.78</v>
      </c>
      <c r="E5" s="19">
        <v>462.72</v>
      </c>
      <c r="F5" s="19">
        <v>7081.71</v>
      </c>
      <c r="G5" s="19">
        <v>1533.23</v>
      </c>
      <c r="H5" s="19">
        <v>5146.7700000000004</v>
      </c>
      <c r="I5" s="19">
        <v>4356.84</v>
      </c>
      <c r="J5" s="19">
        <v>2970.68</v>
      </c>
      <c r="K5" s="19">
        <v>3664.82</v>
      </c>
      <c r="L5" s="19">
        <v>6553.9</v>
      </c>
      <c r="M5" s="51">
        <v>1262.94</v>
      </c>
      <c r="N5" s="60">
        <f t="shared" si="0"/>
        <v>36582.14</v>
      </c>
      <c r="O5" s="19">
        <f>SUM('RC 2012'!B5:M5)</f>
        <v>32936.01</v>
      </c>
      <c r="P5" s="22">
        <f t="shared" si="1"/>
        <v>0.11070345193604192</v>
      </c>
    </row>
    <row r="6" spans="1:16">
      <c r="A6" s="267" t="s">
        <v>283</v>
      </c>
      <c r="B6" s="19">
        <v>12934.56</v>
      </c>
      <c r="C6" s="19">
        <v>8709.2099999999991</v>
      </c>
      <c r="D6" s="19">
        <v>5806.26</v>
      </c>
      <c r="E6" s="19">
        <v>7197.75</v>
      </c>
      <c r="F6" s="19">
        <v>15169.8</v>
      </c>
      <c r="G6" s="19">
        <v>23773.84</v>
      </c>
      <c r="H6" s="19">
        <v>44165.51</v>
      </c>
      <c r="I6" s="19">
        <v>46300.05</v>
      </c>
      <c r="J6" s="19">
        <v>51254.09</v>
      </c>
      <c r="K6" s="19">
        <v>48952.27</v>
      </c>
      <c r="L6" s="19">
        <v>45676.19</v>
      </c>
      <c r="M6" s="51">
        <v>29523.22</v>
      </c>
      <c r="N6" s="60">
        <f t="shared" si="0"/>
        <v>339462.75</v>
      </c>
      <c r="O6" s="19">
        <f>SUM('RC 2012'!B6:M6)</f>
        <v>297010.49</v>
      </c>
      <c r="P6" s="22">
        <f t="shared" si="1"/>
        <v>0.14293185402306841</v>
      </c>
    </row>
    <row r="7" spans="1:16">
      <c r="A7" s="267" t="s">
        <v>178</v>
      </c>
      <c r="B7" s="19">
        <v>0</v>
      </c>
      <c r="C7" s="371">
        <v>0</v>
      </c>
      <c r="D7" s="371">
        <v>0</v>
      </c>
      <c r="E7" s="371">
        <v>0</v>
      </c>
      <c r="F7" s="371">
        <v>0</v>
      </c>
      <c r="G7" s="371">
        <v>0</v>
      </c>
      <c r="H7" s="371">
        <v>0</v>
      </c>
      <c r="I7" s="371">
        <v>0</v>
      </c>
      <c r="J7" s="371">
        <v>0</v>
      </c>
      <c r="K7" s="371">
        <v>0</v>
      </c>
      <c r="L7" s="371">
        <v>0</v>
      </c>
      <c r="M7" s="371">
        <v>0</v>
      </c>
      <c r="N7" s="60">
        <f t="shared" si="0"/>
        <v>0</v>
      </c>
      <c r="O7" s="19"/>
      <c r="P7" s="22" t="e">
        <f t="shared" si="1"/>
        <v>#DIV/0!</v>
      </c>
    </row>
    <row r="8" spans="1:16">
      <c r="A8" s="267" t="s">
        <v>284</v>
      </c>
      <c r="B8" s="19">
        <v>8663.77</v>
      </c>
      <c r="C8" s="19">
        <v>15471.24</v>
      </c>
      <c r="D8" s="19">
        <v>12905.1</v>
      </c>
      <c r="E8" s="19">
        <v>8178.81</v>
      </c>
      <c r="F8" s="19">
        <v>15423.76</v>
      </c>
      <c r="G8" s="19">
        <v>10484.120000000001</v>
      </c>
      <c r="H8" s="19">
        <v>12404.56</v>
      </c>
      <c r="I8" s="19">
        <v>29671.35</v>
      </c>
      <c r="J8" s="19">
        <v>11823.04</v>
      </c>
      <c r="K8" s="19">
        <v>12304.69</v>
      </c>
      <c r="L8" s="19">
        <v>31422.81</v>
      </c>
      <c r="M8" s="51">
        <v>11494.71</v>
      </c>
      <c r="N8" s="60">
        <f t="shared" si="0"/>
        <v>180247.96</v>
      </c>
      <c r="O8" s="19">
        <f>SUM('RC 2012'!B7:M7)</f>
        <v>178606.22999999998</v>
      </c>
      <c r="P8" s="22">
        <f t="shared" si="1"/>
        <v>9.1918966096535826E-3</v>
      </c>
    </row>
    <row r="9" spans="1:16">
      <c r="A9" s="267" t="s">
        <v>285</v>
      </c>
      <c r="B9" s="19">
        <v>2515.63</v>
      </c>
      <c r="C9" s="19">
        <v>3430.85</v>
      </c>
      <c r="D9" s="19">
        <v>2004.73</v>
      </c>
      <c r="E9" s="19">
        <v>1372.58</v>
      </c>
      <c r="F9" s="19">
        <v>2800.58</v>
      </c>
      <c r="G9" s="19">
        <v>2683.23</v>
      </c>
      <c r="H9" s="19">
        <v>7012.09</v>
      </c>
      <c r="I9" s="19">
        <v>9175.73</v>
      </c>
      <c r="J9" s="19">
        <v>6173.44</v>
      </c>
      <c r="K9" s="19">
        <v>7440.37</v>
      </c>
      <c r="L9" s="19">
        <v>10197.620000000001</v>
      </c>
      <c r="M9" s="51">
        <v>3480.7</v>
      </c>
      <c r="N9" s="60">
        <f t="shared" si="0"/>
        <v>58287.55</v>
      </c>
      <c r="O9" s="19">
        <f>SUM('RC 2012'!B8:M8)</f>
        <v>53242.80000000001</v>
      </c>
      <c r="P9" s="22">
        <f t="shared" si="1"/>
        <v>9.4749900456023939E-2</v>
      </c>
    </row>
    <row r="10" spans="1:16">
      <c r="A10" s="267" t="s">
        <v>180</v>
      </c>
      <c r="B10" s="19">
        <v>144887.34</v>
      </c>
      <c r="C10" s="19">
        <v>176828.02</v>
      </c>
      <c r="D10" s="19">
        <v>99392.16</v>
      </c>
      <c r="E10" s="19">
        <v>123494.04</v>
      </c>
      <c r="F10" s="19">
        <v>267338.65000000002</v>
      </c>
      <c r="G10" s="19">
        <v>258667.4</v>
      </c>
      <c r="H10" s="19">
        <v>307006.78000000003</v>
      </c>
      <c r="I10" s="19">
        <v>375840.42</v>
      </c>
      <c r="J10" s="19">
        <v>249132.2</v>
      </c>
      <c r="K10" s="19">
        <v>253070.62</v>
      </c>
      <c r="L10" s="19">
        <v>369891.39</v>
      </c>
      <c r="M10" s="99">
        <v>238371.18</v>
      </c>
      <c r="N10" s="60">
        <f t="shared" si="0"/>
        <v>2863920.2</v>
      </c>
      <c r="O10" s="19">
        <f>SUM('RC 2012'!B9:M9)</f>
        <v>2793751.84</v>
      </c>
      <c r="P10" s="22">
        <f t="shared" si="1"/>
        <v>2.5116174957042769E-2</v>
      </c>
    </row>
    <row r="11" spans="1:16">
      <c r="A11" s="267" t="s">
        <v>183</v>
      </c>
      <c r="B11" s="19">
        <v>8545</v>
      </c>
      <c r="C11" s="19">
        <v>52596.01</v>
      </c>
      <c r="D11" s="19">
        <v>38313.360000000001</v>
      </c>
      <c r="E11" s="19">
        <v>32853.1</v>
      </c>
      <c r="F11" s="19">
        <v>39752.339999999997</v>
      </c>
      <c r="G11" s="19">
        <v>11027.98</v>
      </c>
      <c r="H11" s="19">
        <v>7847.76</v>
      </c>
      <c r="I11" s="19">
        <v>10632.85</v>
      </c>
      <c r="J11" s="19">
        <v>9320.4599999999991</v>
      </c>
      <c r="K11" s="19">
        <v>9678.58</v>
      </c>
      <c r="L11" s="19">
        <v>28590.92</v>
      </c>
      <c r="M11" s="99">
        <v>9507.83</v>
      </c>
      <c r="N11" s="60">
        <f t="shared" si="0"/>
        <v>258666.18999999997</v>
      </c>
      <c r="O11" s="19">
        <f>SUM('RC 2012'!B10:M10)</f>
        <v>221254.55999999997</v>
      </c>
      <c r="P11" s="22">
        <f t="shared" si="1"/>
        <v>0.1690886280490671</v>
      </c>
    </row>
    <row r="12" spans="1:16">
      <c r="A12" s="267" t="s">
        <v>188</v>
      </c>
      <c r="B12" s="19">
        <v>35752.43</v>
      </c>
      <c r="C12" s="19">
        <v>47898.33</v>
      </c>
      <c r="D12" s="19">
        <v>34795.97</v>
      </c>
      <c r="E12" s="19">
        <v>29520.01</v>
      </c>
      <c r="F12" s="19">
        <v>48782.55</v>
      </c>
      <c r="G12" s="19">
        <v>40025.33</v>
      </c>
      <c r="H12" s="19">
        <v>48726.05</v>
      </c>
      <c r="I12" s="19">
        <v>76359.100000000006</v>
      </c>
      <c r="J12" s="19">
        <v>42345.78</v>
      </c>
      <c r="K12" s="19">
        <v>50725.96</v>
      </c>
      <c r="L12" s="19">
        <v>81616.710000000006</v>
      </c>
      <c r="M12" s="99">
        <v>42774.04</v>
      </c>
      <c r="N12" s="60">
        <f t="shared" si="0"/>
        <v>579322.26000000013</v>
      </c>
      <c r="O12" s="19">
        <f>SUM('RC 2012'!B11:M11)</f>
        <v>543142.28</v>
      </c>
      <c r="P12" s="22">
        <f t="shared" si="1"/>
        <v>6.661234327034915E-2</v>
      </c>
    </row>
    <row r="13" spans="1:16">
      <c r="A13" s="267" t="s">
        <v>286</v>
      </c>
      <c r="B13" s="19">
        <v>3445.49</v>
      </c>
      <c r="C13" s="19">
        <v>3249.36</v>
      </c>
      <c r="D13" s="19">
        <v>2834.14</v>
      </c>
      <c r="E13" s="19">
        <v>2575.0700000000002</v>
      </c>
      <c r="F13" s="19">
        <v>5253.84</v>
      </c>
      <c r="G13" s="19">
        <v>6507.95</v>
      </c>
      <c r="H13" s="19">
        <v>8709.06</v>
      </c>
      <c r="I13" s="19">
        <v>9569.31</v>
      </c>
      <c r="J13" s="19">
        <v>7043.22</v>
      </c>
      <c r="K13" s="19">
        <v>7442.47</v>
      </c>
      <c r="L13" s="19">
        <v>10438.450000000001</v>
      </c>
      <c r="M13" s="99">
        <v>6175.72</v>
      </c>
      <c r="N13" s="60">
        <f t="shared" si="0"/>
        <v>73244.08</v>
      </c>
      <c r="O13" s="19">
        <f>SUM('RC 2012'!B12:M12)</f>
        <v>73365.990000000005</v>
      </c>
      <c r="P13" s="22">
        <f t="shared" si="1"/>
        <v>-1.6616691194381028E-3</v>
      </c>
    </row>
    <row r="14" spans="1:16">
      <c r="A14" s="267" t="s">
        <v>287</v>
      </c>
      <c r="B14" s="19">
        <v>5514.07</v>
      </c>
      <c r="C14" s="19">
        <v>11384.96</v>
      </c>
      <c r="D14" s="19">
        <v>5705.95</v>
      </c>
      <c r="E14" s="19">
        <v>7832.28</v>
      </c>
      <c r="F14" s="19">
        <v>14230.65</v>
      </c>
      <c r="G14" s="19">
        <v>5826.77</v>
      </c>
      <c r="H14" s="19">
        <v>14454.38</v>
      </c>
      <c r="I14" s="19">
        <v>42586.41</v>
      </c>
      <c r="J14" s="19">
        <v>38186.83</v>
      </c>
      <c r="K14" s="19">
        <v>28858.41</v>
      </c>
      <c r="L14" s="19">
        <v>65277.24</v>
      </c>
      <c r="M14" s="99">
        <v>14494.49</v>
      </c>
      <c r="N14" s="60">
        <f t="shared" si="0"/>
        <v>254352.43999999997</v>
      </c>
      <c r="O14" s="19">
        <f>SUM('RC 2012'!B13:M13)</f>
        <v>225641.35999999996</v>
      </c>
      <c r="P14" s="22">
        <f t="shared" si="1"/>
        <v>0.12724209781398232</v>
      </c>
    </row>
    <row r="15" spans="1:16">
      <c r="A15" s="267" t="s">
        <v>288</v>
      </c>
      <c r="B15" s="19">
        <v>45663.9</v>
      </c>
      <c r="C15" s="19">
        <v>96622.47</v>
      </c>
      <c r="D15" s="19">
        <v>108731.88</v>
      </c>
      <c r="E15" s="19">
        <v>130535.01</v>
      </c>
      <c r="F15" s="19">
        <v>163959.42000000001</v>
      </c>
      <c r="G15" s="19">
        <v>43103</v>
      </c>
      <c r="H15" s="19">
        <v>9889.02</v>
      </c>
      <c r="I15" s="19">
        <v>16908.27</v>
      </c>
      <c r="J15" s="19">
        <v>3767.59</v>
      </c>
      <c r="K15" s="19">
        <v>6920.39</v>
      </c>
      <c r="L15" s="19">
        <v>10332.530000000001</v>
      </c>
      <c r="M15" s="99">
        <v>7628.92</v>
      </c>
      <c r="N15" s="60">
        <f t="shared" si="0"/>
        <v>644062.40000000014</v>
      </c>
      <c r="O15" s="19">
        <f>SUM('RC 2012'!B14:M14)</f>
        <v>587795.94000000006</v>
      </c>
      <c r="P15" s="22">
        <f t="shared" si="1"/>
        <v>9.5724478804668278E-2</v>
      </c>
    </row>
    <row r="16" spans="1:16" hidden="1">
      <c r="A16" s="267" t="s">
        <v>209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99"/>
      <c r="N16" s="60">
        <f t="shared" si="0"/>
        <v>0</v>
      </c>
      <c r="O16" s="19">
        <f>SUM('RC 2012'!B15:F15)</f>
        <v>0</v>
      </c>
      <c r="P16" s="22" t="e">
        <f t="shared" si="1"/>
        <v>#DIV/0!</v>
      </c>
    </row>
    <row r="17" spans="1:16">
      <c r="A17" s="267" t="s">
        <v>209</v>
      </c>
      <c r="B17" s="268">
        <v>0</v>
      </c>
      <c r="C17" s="268">
        <v>0</v>
      </c>
      <c r="D17" s="268">
        <v>0</v>
      </c>
      <c r="E17" s="268">
        <v>0</v>
      </c>
      <c r="F17" s="19">
        <v>2.09</v>
      </c>
      <c r="G17" s="327">
        <v>0</v>
      </c>
      <c r="H17" s="327">
        <v>0</v>
      </c>
      <c r="I17" s="327">
        <v>0</v>
      </c>
      <c r="J17" s="327">
        <v>0</v>
      </c>
      <c r="K17" s="327">
        <v>0</v>
      </c>
      <c r="L17" s="327">
        <v>0</v>
      </c>
      <c r="M17" s="327">
        <v>0</v>
      </c>
      <c r="N17" s="60">
        <f t="shared" si="0"/>
        <v>2.09</v>
      </c>
      <c r="O17" s="19"/>
      <c r="P17" s="22" t="e">
        <f t="shared" si="1"/>
        <v>#DIV/0!</v>
      </c>
    </row>
    <row r="18" spans="1:16">
      <c r="A18" s="267" t="s">
        <v>289</v>
      </c>
      <c r="B18" s="19">
        <v>387380.82</v>
      </c>
      <c r="C18" s="19">
        <v>1075275.3799999999</v>
      </c>
      <c r="D18" s="19">
        <v>1182372.32</v>
      </c>
      <c r="E18" s="19">
        <v>1046833.48</v>
      </c>
      <c r="F18" s="19">
        <v>1026373.45</v>
      </c>
      <c r="G18" s="111">
        <v>429396.47999999998</v>
      </c>
      <c r="H18" s="19">
        <v>386629.9</v>
      </c>
      <c r="I18" s="19">
        <v>669195.04</v>
      </c>
      <c r="J18" s="19">
        <v>582238.94999999995</v>
      </c>
      <c r="K18" s="19">
        <v>617282.23</v>
      </c>
      <c r="L18" s="19">
        <v>696924.79</v>
      </c>
      <c r="M18" s="99">
        <v>433924.53</v>
      </c>
      <c r="N18" s="60">
        <f t="shared" si="0"/>
        <v>8533827.370000001</v>
      </c>
      <c r="O18" s="19">
        <f>SUM('RC 2012'!B16:M16)</f>
        <v>7407775.5899999999</v>
      </c>
      <c r="P18" s="22">
        <f t="shared" si="1"/>
        <v>0.15200943472425044</v>
      </c>
    </row>
    <row r="19" spans="1:16">
      <c r="A19" s="267" t="s">
        <v>290</v>
      </c>
      <c r="B19" s="19">
        <v>2010.11</v>
      </c>
      <c r="C19" s="19">
        <v>4585.5200000000004</v>
      </c>
      <c r="D19" s="19">
        <v>4593.34</v>
      </c>
      <c r="E19" s="19">
        <v>4834.26</v>
      </c>
      <c r="F19" s="19">
        <v>3559.76</v>
      </c>
      <c r="G19" s="111">
        <v>1931.24</v>
      </c>
      <c r="H19" s="19">
        <v>1648</v>
      </c>
      <c r="I19" s="19">
        <v>2779.74</v>
      </c>
      <c r="J19" s="19">
        <v>2931.77</v>
      </c>
      <c r="K19" s="19">
        <v>3292.02</v>
      </c>
      <c r="L19" s="19">
        <v>2355.7399999999998</v>
      </c>
      <c r="M19" s="51">
        <v>1934.02</v>
      </c>
      <c r="N19" s="60">
        <f t="shared" si="0"/>
        <v>36455.519999999997</v>
      </c>
      <c r="O19" s="19">
        <f>SUM('RC 2012'!B17:M17)</f>
        <v>29969.800000000003</v>
      </c>
      <c r="P19" s="22">
        <f t="shared" si="1"/>
        <v>0.21640851790802729</v>
      </c>
    </row>
    <row r="20" spans="1:16">
      <c r="A20" s="267" t="s">
        <v>230</v>
      </c>
      <c r="B20" s="19">
        <v>24125.72</v>
      </c>
      <c r="C20" s="19">
        <v>38748.83</v>
      </c>
      <c r="D20" s="19">
        <v>30230.3</v>
      </c>
      <c r="E20" s="19">
        <v>22306.59</v>
      </c>
      <c r="F20" s="19">
        <v>35860.07</v>
      </c>
      <c r="G20" s="111">
        <v>21620.71</v>
      </c>
      <c r="H20" s="19">
        <v>25725.35</v>
      </c>
      <c r="I20" s="19">
        <v>40832.379999999997</v>
      </c>
      <c r="J20" s="19">
        <v>44939.85</v>
      </c>
      <c r="K20" s="19">
        <v>42825.04</v>
      </c>
      <c r="L20" s="19">
        <v>43099.73</v>
      </c>
      <c r="M20" s="51">
        <v>23384.91</v>
      </c>
      <c r="N20" s="60">
        <f t="shared" si="0"/>
        <v>393699.47999999992</v>
      </c>
      <c r="O20" s="19">
        <f>SUM('RC 2012'!B18:M18)</f>
        <v>354882.62</v>
      </c>
      <c r="P20" s="22">
        <f t="shared" si="1"/>
        <v>0.10937943368429792</v>
      </c>
    </row>
    <row r="21" spans="1:16">
      <c r="A21" s="267" t="s">
        <v>291</v>
      </c>
      <c r="B21" s="268" t="s">
        <v>250</v>
      </c>
      <c r="C21" s="268" t="s">
        <v>250</v>
      </c>
      <c r="D21" s="268" t="s">
        <v>250</v>
      </c>
      <c r="E21" s="268" t="s">
        <v>250</v>
      </c>
      <c r="F21" s="19">
        <v>204.53</v>
      </c>
      <c r="G21" s="111">
        <v>5501.79</v>
      </c>
      <c r="H21" s="19">
        <v>3929.19</v>
      </c>
      <c r="I21" s="19">
        <v>22951.68</v>
      </c>
      <c r="J21" s="19">
        <v>380.08</v>
      </c>
      <c r="K21" s="19">
        <v>21156.639999999999</v>
      </c>
      <c r="L21" s="19">
        <v>5432.17</v>
      </c>
      <c r="M21" s="327" t="s">
        <v>250</v>
      </c>
      <c r="N21" s="60">
        <f t="shared" si="0"/>
        <v>59556.08</v>
      </c>
      <c r="O21" s="19"/>
      <c r="P21" s="22" t="e">
        <f t="shared" si="1"/>
        <v>#DIV/0!</v>
      </c>
    </row>
    <row r="22" spans="1:16" ht="13" thickBot="1">
      <c r="A22" s="296" t="s">
        <v>238</v>
      </c>
      <c r="B22" s="96">
        <v>44426.87</v>
      </c>
      <c r="C22" s="96">
        <v>46852.38</v>
      </c>
      <c r="D22" s="96">
        <v>25483.69</v>
      </c>
      <c r="E22" s="96">
        <v>28580.25</v>
      </c>
      <c r="F22" s="96">
        <v>90721.09</v>
      </c>
      <c r="G22" s="96">
        <v>61670.73</v>
      </c>
      <c r="H22" s="96">
        <v>116497.9</v>
      </c>
      <c r="I22" s="96">
        <v>144047.98000000001</v>
      </c>
      <c r="J22" s="96">
        <v>88695.81</v>
      </c>
      <c r="K22" s="96">
        <v>109294.48</v>
      </c>
      <c r="L22" s="96">
        <v>134925.68</v>
      </c>
      <c r="M22" s="328">
        <v>61878.25</v>
      </c>
      <c r="N22" s="62">
        <f t="shared" si="0"/>
        <v>953075.10999999987</v>
      </c>
      <c r="O22" s="96">
        <f>SUM('RC 2012'!B19:M19)</f>
        <v>832966.88</v>
      </c>
      <c r="P22" s="297">
        <f t="shared" si="1"/>
        <v>0.14419328413153698</v>
      </c>
    </row>
    <row r="23" spans="1:16" ht="13" thickBot="1">
      <c r="A23" s="275" t="s">
        <v>54</v>
      </c>
      <c r="B23" s="306">
        <f>SUM(B4:B22)</f>
        <v>745075.11999999988</v>
      </c>
      <c r="C23" s="306">
        <f>SUM(C4:C22)</f>
        <v>1601263.79</v>
      </c>
      <c r="D23" s="306">
        <f>SUM(D4:D22)</f>
        <v>1571587.3600000003</v>
      </c>
      <c r="E23" s="306">
        <f>SUM(E4:E22)</f>
        <v>1467607.59</v>
      </c>
      <c r="F23" s="306">
        <f t="shared" ref="F23:L23" si="2">SUM(F4:F22)-F21</f>
        <v>1766814.7400000002</v>
      </c>
      <c r="G23" s="306">
        <f t="shared" si="2"/>
        <v>945979.39999999991</v>
      </c>
      <c r="H23" s="306">
        <f t="shared" si="2"/>
        <v>1027838.2400000001</v>
      </c>
      <c r="I23" s="306">
        <f t="shared" si="2"/>
        <v>1519977.43</v>
      </c>
      <c r="J23" s="306">
        <f t="shared" si="2"/>
        <v>1177471.0900000001</v>
      </c>
      <c r="K23" s="306">
        <f t="shared" si="2"/>
        <v>1246080.1100000001</v>
      </c>
      <c r="L23" s="306">
        <f t="shared" si="2"/>
        <v>1583556.6</v>
      </c>
      <c r="M23" s="319">
        <f>SUM(M4:M22)</f>
        <v>912935.24</v>
      </c>
      <c r="N23" s="329">
        <f>SUM(N4:N22)</f>
        <v>15625742.790000001</v>
      </c>
      <c r="O23" s="273">
        <f>SUM(O4:O22)</f>
        <v>13974765.090000002</v>
      </c>
      <c r="P23" s="274">
        <f>N23/O23-1</f>
        <v>0.11813992502681847</v>
      </c>
    </row>
    <row r="24" spans="1:16" s="222" customFormat="1">
      <c r="A24" s="330" t="s">
        <v>265</v>
      </c>
      <c r="B24" s="28">
        <f>B23/'RC 2012'!B20-1</f>
        <v>-6.503956786545495E-2</v>
      </c>
      <c r="C24" s="28">
        <f>C23/'RC 2012'!C20-1</f>
        <v>-8.5986123148417137E-2</v>
      </c>
      <c r="D24" s="28">
        <f>D23/'RC 2012'!D20-1</f>
        <v>0.22961303807152356</v>
      </c>
      <c r="E24" s="28">
        <f>E23/'RC 2012'!E20-1</f>
        <v>-2.2792118742680501E-3</v>
      </c>
      <c r="F24" s="28">
        <f>F23/'RC 2012'!F20-1</f>
        <v>-2.8465648596250892E-3</v>
      </c>
      <c r="G24" s="28">
        <f>G23/'RC 2012'!G20-1</f>
        <v>0.23102889162798057</v>
      </c>
      <c r="H24" s="28">
        <f>H23/'RC 2012'!H20-1</f>
        <v>0.22428840169497244</v>
      </c>
      <c r="I24" s="28">
        <f>I23/'RC 2012'!I20-1</f>
        <v>0.15865746774516487</v>
      </c>
      <c r="J24" s="28">
        <f>J23/'RC 2012'!J20-1</f>
        <v>0.37294717640563313</v>
      </c>
      <c r="K24" s="28">
        <f>K23/'RC 2012'!K20-1</f>
        <v>0.15346557882416301</v>
      </c>
      <c r="L24" s="28">
        <f>L23/'RC 2012'!L20-1</f>
        <v>0.25724874059499792</v>
      </c>
      <c r="M24" s="28">
        <f>M23/'RC 2012'!M20-1</f>
        <v>0.15893459011884992</v>
      </c>
      <c r="N24" s="331"/>
      <c r="O24" s="323"/>
      <c r="P24" s="1"/>
    </row>
    <row r="26" spans="1:16">
      <c r="C26" s="243"/>
      <c r="H26" s="1"/>
      <c r="I26" s="1"/>
    </row>
    <row r="27" spans="1:16">
      <c r="H27" s="243"/>
      <c r="I27" s="1"/>
    </row>
    <row r="28" spans="1:16">
      <c r="A28" s="287"/>
      <c r="H28" s="243"/>
      <c r="I28" s="1"/>
      <c r="N28" s="100"/>
    </row>
    <row r="29" spans="1:16">
      <c r="A29" s="287"/>
      <c r="H29" s="243"/>
      <c r="I29" s="1"/>
    </row>
    <row r="30" spans="1:16">
      <c r="H30" s="243"/>
      <c r="I30" s="1"/>
    </row>
    <row r="31" spans="1:16">
      <c r="H31" s="1"/>
      <c r="I31" s="1"/>
    </row>
    <row r="33" spans="2:13">
      <c r="B33" s="1" t="s">
        <v>134</v>
      </c>
      <c r="C33" s="1" t="s">
        <v>135</v>
      </c>
      <c r="D33" s="1" t="s">
        <v>141</v>
      </c>
      <c r="E33" s="1" t="s">
        <v>142</v>
      </c>
      <c r="F33" s="1" t="s">
        <v>143</v>
      </c>
      <c r="G33" s="1" t="s">
        <v>144</v>
      </c>
      <c r="H33" s="1" t="s">
        <v>145</v>
      </c>
      <c r="I33" s="1" t="s">
        <v>146</v>
      </c>
      <c r="J33" s="1" t="s">
        <v>130</v>
      </c>
      <c r="K33" s="1" t="s">
        <v>131</v>
      </c>
      <c r="L33" s="1" t="s">
        <v>132</v>
      </c>
      <c r="M33" s="1" t="s">
        <v>133</v>
      </c>
    </row>
  </sheetData>
  <mergeCells count="1">
    <mergeCell ref="A1:P1"/>
  </mergeCells>
  <printOptions horizontalCentered="1"/>
  <pageMargins left="0" right="0" top="1" bottom="1" header="0.5" footer="0.5"/>
  <pageSetup scale="92" orientation="landscape"/>
  <headerFooter alignWithMargins="0">
    <oddFooter>&amp;Z&amp;F</oddFooter>
  </headerFooter>
  <ignoredErrors>
    <ignoredError sqref="P7:P21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 enableFormatConditionsCalculation="0">
    <tabColor rgb="FF7030A0"/>
    <pageSetUpPr fitToPage="1"/>
  </sheetPr>
  <dimension ref="A1:S28"/>
  <sheetViews>
    <sheetView topLeftCell="K1" workbookViewId="0">
      <selection activeCell="N35" sqref="N35"/>
    </sheetView>
  </sheetViews>
  <sheetFormatPr baseColWidth="10" defaultColWidth="8.83203125" defaultRowHeight="12" x14ac:dyDescent="0"/>
  <cols>
    <col min="1" max="1" width="10.83203125" bestFit="1" customWidth="1"/>
    <col min="8" max="8" width="10" bestFit="1" customWidth="1"/>
    <col min="14" max="14" width="12" bestFit="1" customWidth="1"/>
    <col min="15" max="15" width="9.5" bestFit="1" customWidth="1"/>
  </cols>
  <sheetData>
    <row r="1" spans="1:19" ht="23">
      <c r="A1" s="711" t="s">
        <v>293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</row>
    <row r="2" spans="1:19" ht="13" thickBot="1"/>
    <row r="3" spans="1:19" ht="13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310" t="s">
        <v>13</v>
      </c>
      <c r="N3" s="25" t="s">
        <v>119</v>
      </c>
      <c r="O3" s="251" t="s">
        <v>112</v>
      </c>
      <c r="P3" s="253" t="s">
        <v>16</v>
      </c>
      <c r="R3" s="577"/>
      <c r="S3" s="578"/>
    </row>
    <row r="4" spans="1:19">
      <c r="A4" s="267" t="s">
        <v>176</v>
      </c>
      <c r="B4" s="19">
        <v>25016.42</v>
      </c>
      <c r="C4" s="19">
        <v>25729.66</v>
      </c>
      <c r="D4" s="19">
        <v>15920.24</v>
      </c>
      <c r="E4" s="19">
        <v>13402.35</v>
      </c>
      <c r="F4" s="19">
        <v>26517.52</v>
      </c>
      <c r="G4" s="19">
        <v>27393.33</v>
      </c>
      <c r="H4" s="19">
        <v>37067.120000000003</v>
      </c>
      <c r="I4" s="19">
        <v>43419.89</v>
      </c>
      <c r="J4" s="19">
        <v>30943.67</v>
      </c>
      <c r="K4" s="19">
        <v>35853.879999999997</v>
      </c>
      <c r="L4" s="19">
        <v>34048.49</v>
      </c>
      <c r="M4" s="51">
        <v>27110.13</v>
      </c>
      <c r="N4" s="106">
        <f t="shared" ref="N4:N19" si="0">SUM(B4:M4)</f>
        <v>342422.7</v>
      </c>
      <c r="O4" s="19">
        <f>SUM('RC 2011'!B4:M4)</f>
        <v>328835.57000000007</v>
      </c>
      <c r="P4" s="22">
        <f t="shared" ref="P4:P15" si="1">N4/O4-1</f>
        <v>4.131891814501687E-2</v>
      </c>
    </row>
    <row r="5" spans="1:19">
      <c r="A5" s="267" t="s">
        <v>282</v>
      </c>
      <c r="B5" s="19">
        <v>1617.94</v>
      </c>
      <c r="C5" s="19">
        <v>1354.5</v>
      </c>
      <c r="D5" s="19">
        <v>504.24</v>
      </c>
      <c r="E5" s="19">
        <v>1503.86</v>
      </c>
      <c r="F5" s="19">
        <v>2622.28</v>
      </c>
      <c r="G5" s="19">
        <v>2851.65</v>
      </c>
      <c r="H5" s="19">
        <v>4212.75</v>
      </c>
      <c r="I5" s="19">
        <v>4787.43</v>
      </c>
      <c r="J5" s="19">
        <v>2586.46</v>
      </c>
      <c r="K5" s="19">
        <v>3591.62</v>
      </c>
      <c r="L5" s="19">
        <v>4763.63</v>
      </c>
      <c r="M5" s="51">
        <v>2539.65</v>
      </c>
      <c r="N5" s="60">
        <f t="shared" si="0"/>
        <v>32936.01</v>
      </c>
      <c r="O5" s="19">
        <f>SUM('RC 2011'!B5:M5)</f>
        <v>31105.55</v>
      </c>
      <c r="P5" s="22">
        <f t="shared" si="1"/>
        <v>5.884673313926303E-2</v>
      </c>
    </row>
    <row r="6" spans="1:19">
      <c r="A6" s="267" t="s">
        <v>283</v>
      </c>
      <c r="B6" s="19">
        <v>1113.04</v>
      </c>
      <c r="C6" s="19">
        <v>0</v>
      </c>
      <c r="D6" s="19">
        <v>0</v>
      </c>
      <c r="E6" s="19">
        <v>24492.12</v>
      </c>
      <c r="F6" s="19">
        <v>0</v>
      </c>
      <c r="G6" s="19">
        <v>23203.03</v>
      </c>
      <c r="H6" s="19">
        <v>36473.339999999997</v>
      </c>
      <c r="I6" s="19">
        <v>40146.94</v>
      </c>
      <c r="J6" s="19">
        <v>49834.73</v>
      </c>
      <c r="K6" s="19">
        <v>47410.54</v>
      </c>
      <c r="L6" s="19">
        <v>42189.47</v>
      </c>
      <c r="M6" s="51">
        <v>32147.279999999999</v>
      </c>
      <c r="N6" s="60">
        <f t="shared" si="0"/>
        <v>297010.49</v>
      </c>
      <c r="O6" s="19">
        <f>SUM('RC 2011'!B6:M6)</f>
        <v>332565.96999999997</v>
      </c>
      <c r="P6" s="22">
        <f t="shared" si="1"/>
        <v>-0.10691256234063873</v>
      </c>
    </row>
    <row r="7" spans="1:19">
      <c r="A7" s="267" t="s">
        <v>284</v>
      </c>
      <c r="B7" s="19">
        <v>9634.49</v>
      </c>
      <c r="C7" s="19">
        <v>14587.29</v>
      </c>
      <c r="D7" s="19">
        <v>9648.08</v>
      </c>
      <c r="E7" s="19">
        <v>5699.1</v>
      </c>
      <c r="F7" s="19">
        <v>13019.97</v>
      </c>
      <c r="G7" s="19">
        <v>16917.419999999998</v>
      </c>
      <c r="H7" s="19">
        <v>11465.03</v>
      </c>
      <c r="I7" s="19">
        <v>32654.36</v>
      </c>
      <c r="J7" s="19">
        <v>9053.77</v>
      </c>
      <c r="K7" s="19">
        <v>13225.68</v>
      </c>
      <c r="L7" s="19">
        <v>30580.71</v>
      </c>
      <c r="M7" s="51">
        <v>12120.33</v>
      </c>
      <c r="N7" s="60">
        <f t="shared" si="0"/>
        <v>178606.22999999998</v>
      </c>
      <c r="O7" s="19">
        <f>SUM('RC 2011'!B7:M7)</f>
        <v>164088.02999999997</v>
      </c>
      <c r="P7" s="22">
        <f t="shared" si="1"/>
        <v>8.8478117508023146E-2</v>
      </c>
    </row>
    <row r="8" spans="1:19">
      <c r="A8" s="267" t="s">
        <v>285</v>
      </c>
      <c r="B8" s="19">
        <v>2293.0700000000002</v>
      </c>
      <c r="C8" s="19">
        <v>2569.1799999999998</v>
      </c>
      <c r="D8" s="19">
        <v>1268.06</v>
      </c>
      <c r="E8" s="19">
        <v>1750.35</v>
      </c>
      <c r="F8" s="19">
        <v>2829.54</v>
      </c>
      <c r="G8" s="19">
        <v>2889.46</v>
      </c>
      <c r="H8" s="19">
        <v>7691.13</v>
      </c>
      <c r="I8" s="19">
        <v>6641.7</v>
      </c>
      <c r="J8" s="19">
        <v>4767.6099999999997</v>
      </c>
      <c r="K8" s="19">
        <v>5653.31</v>
      </c>
      <c r="L8" s="19">
        <v>10976.16</v>
      </c>
      <c r="M8" s="51">
        <v>3913.23</v>
      </c>
      <c r="N8" s="60">
        <f t="shared" si="0"/>
        <v>53242.80000000001</v>
      </c>
      <c r="O8" s="19">
        <f>SUM('RC 2011'!B8:M8)</f>
        <v>54290.389999999992</v>
      </c>
      <c r="P8" s="22">
        <f t="shared" si="1"/>
        <v>-1.9296048527188359E-2</v>
      </c>
    </row>
    <row r="9" spans="1:19">
      <c r="A9" s="267" t="s">
        <v>180</v>
      </c>
      <c r="B9" s="19">
        <v>153261.75</v>
      </c>
      <c r="C9" s="19">
        <v>175673.73</v>
      </c>
      <c r="D9" s="19">
        <v>105972.98</v>
      </c>
      <c r="E9" s="19">
        <v>123136.31</v>
      </c>
      <c r="F9" s="19">
        <v>282711.42</v>
      </c>
      <c r="G9" s="19">
        <v>242750.87</v>
      </c>
      <c r="H9" s="19">
        <v>302633.45</v>
      </c>
      <c r="I9" s="19">
        <v>368871.05</v>
      </c>
      <c r="J9" s="19">
        <v>217081.06</v>
      </c>
      <c r="K9" s="19">
        <v>271943.96999999997</v>
      </c>
      <c r="L9" s="19">
        <v>333741.11</v>
      </c>
      <c r="M9" s="99">
        <v>215974.14</v>
      </c>
      <c r="N9" s="60">
        <f t="shared" si="0"/>
        <v>2793751.84</v>
      </c>
      <c r="O9" s="19">
        <f>SUM('RC 2011'!B9:M9)</f>
        <v>2593360.69</v>
      </c>
      <c r="P9" s="22">
        <f t="shared" si="1"/>
        <v>7.7270836553013256E-2</v>
      </c>
    </row>
    <row r="10" spans="1:19">
      <c r="A10" s="267" t="s">
        <v>183</v>
      </c>
      <c r="B10" s="19">
        <v>10997.96</v>
      </c>
      <c r="C10" s="19">
        <v>52406.7</v>
      </c>
      <c r="D10" s="19">
        <v>28262.560000000001</v>
      </c>
      <c r="E10" s="19">
        <v>31603.54</v>
      </c>
      <c r="F10" s="19">
        <v>31296.52</v>
      </c>
      <c r="G10" s="19">
        <v>13596.25</v>
      </c>
      <c r="H10" s="19">
        <v>6224.43</v>
      </c>
      <c r="I10" s="19">
        <v>13662.65</v>
      </c>
      <c r="J10" s="19">
        <v>6701.36</v>
      </c>
      <c r="K10" s="19">
        <v>7241.59</v>
      </c>
      <c r="L10" s="19">
        <v>16497.46</v>
      </c>
      <c r="M10" s="99">
        <v>2763.54</v>
      </c>
      <c r="N10" s="60">
        <f t="shared" si="0"/>
        <v>221254.55999999997</v>
      </c>
      <c r="O10" s="19">
        <f>SUM('RC 2011'!B10:M10)</f>
        <v>218152.48999999996</v>
      </c>
      <c r="P10" s="22">
        <f t="shared" si="1"/>
        <v>1.4219732261593787E-2</v>
      </c>
    </row>
    <row r="11" spans="1:19">
      <c r="A11" s="267" t="s">
        <v>188</v>
      </c>
      <c r="B11" s="19">
        <v>31761.03</v>
      </c>
      <c r="C11" s="19">
        <v>48969.07</v>
      </c>
      <c r="D11" s="19">
        <v>26605.200000000001</v>
      </c>
      <c r="E11" s="19">
        <v>25037.58</v>
      </c>
      <c r="F11" s="19">
        <v>45272.4</v>
      </c>
      <c r="G11" s="19">
        <v>36868.879999999997</v>
      </c>
      <c r="H11" s="19">
        <v>47440.04</v>
      </c>
      <c r="I11" s="19">
        <v>75468.210000000006</v>
      </c>
      <c r="J11" s="19">
        <v>40001.050000000003</v>
      </c>
      <c r="K11" s="19">
        <v>50703.74</v>
      </c>
      <c r="L11" s="19">
        <v>72327.11</v>
      </c>
      <c r="M11" s="99">
        <v>42687.97</v>
      </c>
      <c r="N11" s="60">
        <f t="shared" si="0"/>
        <v>543142.28</v>
      </c>
      <c r="O11" s="19">
        <f>SUM('RC 2011'!B11:M11)</f>
        <v>571873.6100000001</v>
      </c>
      <c r="P11" s="22">
        <f t="shared" si="1"/>
        <v>-5.0240699164278757E-2</v>
      </c>
    </row>
    <row r="12" spans="1:19">
      <c r="A12" s="267" t="s">
        <v>286</v>
      </c>
      <c r="B12" s="19">
        <v>3401.27</v>
      </c>
      <c r="C12" s="19">
        <v>3251.84</v>
      </c>
      <c r="D12" s="19">
        <v>2009.9</v>
      </c>
      <c r="E12" s="19">
        <v>2347.3000000000002</v>
      </c>
      <c r="F12" s="19">
        <v>4029.7</v>
      </c>
      <c r="G12" s="19">
        <v>5706.55</v>
      </c>
      <c r="H12" s="19">
        <v>8925.1299999999992</v>
      </c>
      <c r="I12" s="19">
        <v>10675.84</v>
      </c>
      <c r="J12" s="19">
        <v>7681.88</v>
      </c>
      <c r="K12" s="19">
        <v>7750.51</v>
      </c>
      <c r="L12" s="19">
        <v>10599.74</v>
      </c>
      <c r="M12" s="99">
        <v>6986.33</v>
      </c>
      <c r="N12" s="60">
        <f t="shared" si="0"/>
        <v>73365.990000000005</v>
      </c>
      <c r="O12" s="19">
        <f>SUM('RC 2011'!B12:M12)</f>
        <v>77479.61</v>
      </c>
      <c r="P12" s="22">
        <f t="shared" si="1"/>
        <v>-5.3092936322214235E-2</v>
      </c>
    </row>
    <row r="13" spans="1:19">
      <c r="A13" s="267" t="s">
        <v>287</v>
      </c>
      <c r="B13" s="19">
        <v>3639.48</v>
      </c>
      <c r="C13" s="19">
        <v>11050.81</v>
      </c>
      <c r="D13" s="19">
        <v>4693.0200000000004</v>
      </c>
      <c r="E13" s="19">
        <v>3717.21</v>
      </c>
      <c r="F13" s="19">
        <v>10855.16</v>
      </c>
      <c r="G13" s="19">
        <v>7104.05</v>
      </c>
      <c r="H13" s="19">
        <v>13120.55</v>
      </c>
      <c r="I13" s="19">
        <v>36319.93</v>
      </c>
      <c r="J13" s="19">
        <v>26539.01</v>
      </c>
      <c r="K13" s="19">
        <v>33358.559999999998</v>
      </c>
      <c r="L13" s="19">
        <v>69189.36</v>
      </c>
      <c r="M13" s="99">
        <v>6054.22</v>
      </c>
      <c r="N13" s="60">
        <f t="shared" si="0"/>
        <v>225641.35999999996</v>
      </c>
      <c r="O13" s="19">
        <f>SUM('RC 2011'!B13:M13)</f>
        <v>182912.01</v>
      </c>
      <c r="P13" s="22">
        <f t="shared" si="1"/>
        <v>0.2336060382257017</v>
      </c>
    </row>
    <row r="14" spans="1:19">
      <c r="A14" s="267" t="s">
        <v>288</v>
      </c>
      <c r="B14" s="19">
        <v>45151.82</v>
      </c>
      <c r="C14" s="19">
        <v>103825.37</v>
      </c>
      <c r="D14" s="19">
        <v>85114.54</v>
      </c>
      <c r="E14" s="19">
        <v>191538.63</v>
      </c>
      <c r="F14" s="19">
        <v>72848.429999999993</v>
      </c>
      <c r="G14" s="19">
        <v>38755.85</v>
      </c>
      <c r="H14" s="19">
        <v>6908.03</v>
      </c>
      <c r="I14" s="19">
        <v>16261.93</v>
      </c>
      <c r="J14" s="19">
        <v>4669.58</v>
      </c>
      <c r="K14" s="19">
        <v>7108.76</v>
      </c>
      <c r="L14" s="19">
        <v>8146.27</v>
      </c>
      <c r="M14" s="99">
        <v>7466.73</v>
      </c>
      <c r="N14" s="60">
        <f t="shared" si="0"/>
        <v>587795.94000000006</v>
      </c>
      <c r="O14" s="19">
        <f>SUM('RC 2011'!B14:M14)</f>
        <v>612060.53</v>
      </c>
      <c r="P14" s="22">
        <f t="shared" si="1"/>
        <v>-3.9644101866852854E-2</v>
      </c>
    </row>
    <row r="15" spans="1:19" hidden="1">
      <c r="A15" s="267" t="s">
        <v>209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/>
      <c r="H15" s="19"/>
      <c r="I15" s="19"/>
      <c r="J15" s="19"/>
      <c r="K15" s="19"/>
      <c r="L15" s="19"/>
      <c r="M15" s="99"/>
      <c r="N15" s="332">
        <f t="shared" si="0"/>
        <v>0</v>
      </c>
      <c r="O15" s="19">
        <f>SUM('RC 2011'!B15:G15)</f>
        <v>217.57</v>
      </c>
      <c r="P15" s="22">
        <f t="shared" si="1"/>
        <v>-1</v>
      </c>
    </row>
    <row r="16" spans="1:19">
      <c r="A16" s="267" t="s">
        <v>289</v>
      </c>
      <c r="B16" s="19">
        <v>454330.88</v>
      </c>
      <c r="C16" s="19">
        <v>1237742.69</v>
      </c>
      <c r="D16" s="19">
        <v>963936.08</v>
      </c>
      <c r="E16" s="19">
        <v>988870.97</v>
      </c>
      <c r="F16" s="19">
        <v>1184187.54</v>
      </c>
      <c r="G16" s="19">
        <v>272836.31</v>
      </c>
      <c r="H16" s="19">
        <v>237138.66</v>
      </c>
      <c r="I16" s="19">
        <v>467231</v>
      </c>
      <c r="J16" s="19">
        <v>353164.08</v>
      </c>
      <c r="K16" s="19">
        <v>452680.5</v>
      </c>
      <c r="L16" s="19">
        <v>456951.13</v>
      </c>
      <c r="M16" s="51">
        <v>338705.75</v>
      </c>
      <c r="N16" s="60">
        <f t="shared" si="0"/>
        <v>7407775.5899999999</v>
      </c>
      <c r="O16" s="19">
        <f>SUM('RC 2011'!B16:M16)</f>
        <v>6867402.8199999994</v>
      </c>
      <c r="P16" s="22">
        <f>N16/O16-1</f>
        <v>7.8686627850963919E-2</v>
      </c>
    </row>
    <row r="17" spans="1:16">
      <c r="A17" s="267" t="s">
        <v>290</v>
      </c>
      <c r="B17" s="19">
        <v>1374.62</v>
      </c>
      <c r="C17" s="19">
        <v>3908.21</v>
      </c>
      <c r="D17" s="19">
        <v>3565.95</v>
      </c>
      <c r="E17" s="19">
        <v>3900.46</v>
      </c>
      <c r="F17" s="19">
        <v>3248.6</v>
      </c>
      <c r="G17" s="19">
        <v>1523.14</v>
      </c>
      <c r="H17" s="19">
        <v>1195.92</v>
      </c>
      <c r="I17" s="19">
        <v>2151.71</v>
      </c>
      <c r="J17" s="19">
        <v>2738.13</v>
      </c>
      <c r="K17" s="19">
        <v>2173.29</v>
      </c>
      <c r="L17" s="19">
        <v>2419.3200000000002</v>
      </c>
      <c r="M17" s="51">
        <v>1770.45</v>
      </c>
      <c r="N17" s="60">
        <f t="shared" si="0"/>
        <v>29969.800000000003</v>
      </c>
      <c r="O17" s="19">
        <f>SUM('RC 2011'!B17:M17)</f>
        <v>29584.260000000006</v>
      </c>
      <c r="P17" s="22">
        <f>N17/O17-1</f>
        <v>1.3031929816733623E-2</v>
      </c>
    </row>
    <row r="18" spans="1:16">
      <c r="A18" s="267" t="s">
        <v>230</v>
      </c>
      <c r="B18" s="19">
        <v>19650.240000000002</v>
      </c>
      <c r="C18" s="19">
        <v>30097.73</v>
      </c>
      <c r="D18" s="19">
        <v>17013.599999999999</v>
      </c>
      <c r="E18" s="19">
        <v>30896.11</v>
      </c>
      <c r="F18" s="19">
        <v>30147.22</v>
      </c>
      <c r="G18" s="19">
        <v>21670.47</v>
      </c>
      <c r="H18" s="19">
        <v>23760.71</v>
      </c>
      <c r="I18" s="19">
        <v>35001.42</v>
      </c>
      <c r="J18" s="19">
        <v>37997.589999999997</v>
      </c>
      <c r="K18" s="19">
        <v>41220.339999999997</v>
      </c>
      <c r="L18" s="19">
        <v>40506.04</v>
      </c>
      <c r="M18" s="51">
        <v>26921.15</v>
      </c>
      <c r="N18" s="60">
        <f t="shared" si="0"/>
        <v>354882.62</v>
      </c>
      <c r="O18" s="19">
        <f>SUM('RC 2011'!B18:M18)</f>
        <v>355068.57999999996</v>
      </c>
      <c r="P18" s="22">
        <f>N18/O18-1</f>
        <v>-5.2372981016779452E-4</v>
      </c>
    </row>
    <row r="19" spans="1:16" ht="13" thickBot="1">
      <c r="A19" s="296" t="s">
        <v>238</v>
      </c>
      <c r="B19" s="96">
        <v>33661.5</v>
      </c>
      <c r="C19" s="96">
        <v>40736.370000000003</v>
      </c>
      <c r="D19" s="96">
        <v>13600.95</v>
      </c>
      <c r="E19" s="96">
        <v>23064.33</v>
      </c>
      <c r="F19" s="96">
        <v>62272.15</v>
      </c>
      <c r="G19" s="96">
        <v>54378.879999999997</v>
      </c>
      <c r="H19" s="96">
        <v>95283.02</v>
      </c>
      <c r="I19" s="96">
        <v>158549.57999999999</v>
      </c>
      <c r="J19" s="96">
        <v>63863.03</v>
      </c>
      <c r="K19" s="96">
        <v>100376.12</v>
      </c>
      <c r="L19" s="96">
        <v>126605.21</v>
      </c>
      <c r="M19" s="328">
        <v>60575.74</v>
      </c>
      <c r="N19" s="62">
        <f t="shared" si="0"/>
        <v>832966.88</v>
      </c>
      <c r="O19" s="96">
        <f>SUM('RC 2011'!B19:M19)</f>
        <v>711402.22999999986</v>
      </c>
      <c r="P19" s="297">
        <f>N19/O19-1</f>
        <v>0.17088033305715133</v>
      </c>
    </row>
    <row r="20" spans="1:16" ht="13" thickBot="1">
      <c r="A20" s="275" t="s">
        <v>54</v>
      </c>
      <c r="B20" s="306">
        <f t="shared" ref="B20:O20" si="2">SUM(B4:B19)</f>
        <v>796905.50999999989</v>
      </c>
      <c r="C20" s="306">
        <f t="shared" si="2"/>
        <v>1751903.15</v>
      </c>
      <c r="D20" s="306">
        <f>SUM(D4:D19)</f>
        <v>1278115.3999999999</v>
      </c>
      <c r="E20" s="306">
        <f>SUM(E4:E19)</f>
        <v>1470960.22</v>
      </c>
      <c r="F20" s="306">
        <f t="shared" si="2"/>
        <v>1771858.45</v>
      </c>
      <c r="G20" s="306">
        <f t="shared" si="2"/>
        <v>768446.1399999999</v>
      </c>
      <c r="H20" s="306">
        <f t="shared" si="2"/>
        <v>839539.31</v>
      </c>
      <c r="I20" s="306">
        <f t="shared" si="2"/>
        <v>1311843.6400000001</v>
      </c>
      <c r="J20" s="306">
        <f t="shared" si="2"/>
        <v>857623.01</v>
      </c>
      <c r="K20" s="306">
        <f t="shared" si="2"/>
        <v>1080292.4100000001</v>
      </c>
      <c r="L20" s="306">
        <f t="shared" si="2"/>
        <v>1259541.2100000002</v>
      </c>
      <c r="M20" s="319">
        <f t="shared" si="2"/>
        <v>787736.64</v>
      </c>
      <c r="N20" s="329">
        <f t="shared" si="2"/>
        <v>13974765.090000002</v>
      </c>
      <c r="O20" s="273">
        <f t="shared" si="2"/>
        <v>13130399.91</v>
      </c>
      <c r="P20" s="274">
        <f>N20/O20-1</f>
        <v>6.4306128205351865E-2</v>
      </c>
    </row>
    <row r="21" spans="1:16" s="222" customFormat="1">
      <c r="A21" s="330" t="s">
        <v>265</v>
      </c>
      <c r="B21" s="28">
        <f>B20/'RC 2011'!B20-1</f>
        <v>0.1038692962408847</v>
      </c>
      <c r="C21" s="28">
        <f>C20/'RC 2011'!C20-1</f>
        <v>0.21812481498098224</v>
      </c>
      <c r="D21" s="28">
        <f>E20/'RC 2011'!E20-1</f>
        <v>0.20156825643646736</v>
      </c>
      <c r="E21" s="28">
        <f>E20/'RC 2011'!E20-1</f>
        <v>0.20156825643646736</v>
      </c>
      <c r="F21" s="28">
        <f>F20/'RC 2011'!F20-1</f>
        <v>-2.7205445159503183E-2</v>
      </c>
      <c r="G21" s="28">
        <f>G20/'RC 2011'!G20-1</f>
        <v>-9.7044635571577054E-2</v>
      </c>
      <c r="H21" s="28">
        <f>H20/'RC 2011'!H20-1</f>
        <v>0.13909172983501805</v>
      </c>
      <c r="I21" s="28">
        <f>I20/'RC 2011'!I20-1</f>
        <v>5.3042011783724696E-2</v>
      </c>
      <c r="J21" s="28">
        <f>J20/'RC 2011'!J20-1</f>
        <v>2.7109883898746023E-3</v>
      </c>
      <c r="K21" s="28">
        <f>K20/'RC 2011'!K20-1</f>
        <v>0.10168496163558882</v>
      </c>
      <c r="L21" s="28">
        <f>L20/'RC 2011'!L20-1</f>
        <v>4.8523732714263801E-2</v>
      </c>
      <c r="M21" s="28">
        <f>M20/'RC 2011'!M20-1</f>
        <v>3.7584031901676251E-2</v>
      </c>
      <c r="N21" s="331"/>
      <c r="O21" s="323"/>
      <c r="P21" s="1"/>
    </row>
    <row r="23" spans="1:16">
      <c r="H23" s="1"/>
      <c r="I23" s="1"/>
    </row>
    <row r="24" spans="1:16">
      <c r="H24" s="243"/>
      <c r="I24" s="1"/>
    </row>
    <row r="25" spans="1:16">
      <c r="A25" s="287"/>
      <c r="H25" s="243"/>
      <c r="I25" s="1"/>
    </row>
    <row r="26" spans="1:16">
      <c r="A26" s="287"/>
      <c r="H26" s="243"/>
      <c r="I26" s="1"/>
    </row>
    <row r="27" spans="1:16">
      <c r="H27" s="243"/>
      <c r="I27" s="1"/>
    </row>
    <row r="28" spans="1:16">
      <c r="H28" s="1"/>
      <c r="I28" s="1"/>
    </row>
  </sheetData>
  <mergeCells count="1">
    <mergeCell ref="A1:P1"/>
  </mergeCells>
  <printOptions horizontalCentered="1"/>
  <pageMargins left="0" right="0" top="1" bottom="1" header="0.5" footer="0.5"/>
  <pageSetup scale="92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 enableFormatConditionsCalculation="0">
    <tabColor rgb="FF7030A0"/>
    <pageSetUpPr fitToPage="1"/>
  </sheetPr>
  <dimension ref="A1:P28"/>
  <sheetViews>
    <sheetView workbookViewId="0">
      <selection activeCell="H50" sqref="H50"/>
    </sheetView>
  </sheetViews>
  <sheetFormatPr baseColWidth="10" defaultColWidth="8.83203125" defaultRowHeight="12" x14ac:dyDescent="0"/>
  <cols>
    <col min="1" max="1" width="10.83203125" bestFit="1" customWidth="1"/>
    <col min="8" max="8" width="10" bestFit="1" customWidth="1"/>
    <col min="14" max="14" width="12" bestFit="1" customWidth="1"/>
    <col min="15" max="15" width="9.5" bestFit="1" customWidth="1"/>
  </cols>
  <sheetData>
    <row r="1" spans="1:16" ht="23">
      <c r="A1" s="711" t="s">
        <v>294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</row>
    <row r="2" spans="1:16" ht="13" thickBot="1"/>
    <row r="3" spans="1:16" ht="13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310" t="s">
        <v>13</v>
      </c>
      <c r="N3" s="25" t="s">
        <v>112</v>
      </c>
      <c r="O3" s="251" t="s">
        <v>107</v>
      </c>
      <c r="P3" s="253" t="s">
        <v>16</v>
      </c>
    </row>
    <row r="4" spans="1:16">
      <c r="A4" s="267" t="s">
        <v>176</v>
      </c>
      <c r="B4" s="19">
        <v>14282.87</v>
      </c>
      <c r="C4" s="19">
        <v>18214.82</v>
      </c>
      <c r="D4" s="19">
        <v>18988.53</v>
      </c>
      <c r="E4" s="19">
        <v>17768.53</v>
      </c>
      <c r="F4" s="19">
        <v>22260.86</v>
      </c>
      <c r="G4" s="19">
        <v>28786.44</v>
      </c>
      <c r="H4" s="19">
        <v>29269.78</v>
      </c>
      <c r="I4" s="19">
        <v>41202.379999999997</v>
      </c>
      <c r="J4" s="19">
        <v>25865.41</v>
      </c>
      <c r="K4" s="19">
        <v>35830.800000000003</v>
      </c>
      <c r="L4" s="19">
        <v>45046.07</v>
      </c>
      <c r="M4" s="51">
        <v>31319.08</v>
      </c>
      <c r="N4" s="106">
        <f t="shared" ref="N4:N19" si="0">SUM(B4:M4)</f>
        <v>328835.57000000007</v>
      </c>
      <c r="O4" s="19">
        <f>SUM('RC 2010'!B4:M4)</f>
        <v>354962.18999999994</v>
      </c>
      <c r="P4" s="22">
        <f t="shared" ref="P4:P15" si="1">N4/O4-1</f>
        <v>-7.3603952015283358E-2</v>
      </c>
    </row>
    <row r="5" spans="1:16">
      <c r="A5" s="267" t="s">
        <v>282</v>
      </c>
      <c r="B5" s="19">
        <v>1359.07</v>
      </c>
      <c r="C5" s="19">
        <v>1270.27</v>
      </c>
      <c r="D5" s="19">
        <v>275.14</v>
      </c>
      <c r="E5" s="19">
        <v>935.81</v>
      </c>
      <c r="F5" s="19">
        <v>1891.18</v>
      </c>
      <c r="G5" s="19">
        <v>3905.77</v>
      </c>
      <c r="H5" s="19">
        <v>1197.25</v>
      </c>
      <c r="I5" s="19">
        <v>6748.57</v>
      </c>
      <c r="J5" s="19">
        <v>1901.04</v>
      </c>
      <c r="K5" s="19">
        <v>3825.95</v>
      </c>
      <c r="L5" s="19">
        <v>5708.47</v>
      </c>
      <c r="M5" s="51">
        <v>2087.0300000000002</v>
      </c>
      <c r="N5" s="60">
        <f t="shared" si="0"/>
        <v>31105.55</v>
      </c>
      <c r="O5" s="19">
        <f>SUM('RC 2010'!B5:M5)</f>
        <v>33263.949999999997</v>
      </c>
      <c r="P5" s="22">
        <f t="shared" si="1"/>
        <v>-6.4887062420428077E-2</v>
      </c>
    </row>
    <row r="6" spans="1:16">
      <c r="A6" s="267" t="s">
        <v>283</v>
      </c>
      <c r="B6" s="19">
        <v>9158.17</v>
      </c>
      <c r="C6" s="19">
        <v>6182.75</v>
      </c>
      <c r="D6" s="19">
        <v>4673.3500000000004</v>
      </c>
      <c r="E6" s="19">
        <v>5966.58</v>
      </c>
      <c r="F6" s="19">
        <v>9880.48</v>
      </c>
      <c r="G6" s="19">
        <v>24972.5</v>
      </c>
      <c r="H6" s="19">
        <v>39485.78</v>
      </c>
      <c r="I6" s="19">
        <v>50004.82</v>
      </c>
      <c r="J6" s="19">
        <v>52644.52</v>
      </c>
      <c r="K6" s="19">
        <v>49800.65</v>
      </c>
      <c r="L6" s="19">
        <v>44863.360000000001</v>
      </c>
      <c r="M6" s="51">
        <v>34933.01</v>
      </c>
      <c r="N6" s="60">
        <f t="shared" si="0"/>
        <v>332565.96999999997</v>
      </c>
      <c r="O6" s="19">
        <f>SUM('RC 2010'!B6:M6)</f>
        <v>325202.05000000005</v>
      </c>
      <c r="P6" s="22">
        <f t="shared" si="1"/>
        <v>2.2644137698393685E-2</v>
      </c>
    </row>
    <row r="7" spans="1:16">
      <c r="A7" s="267" t="s">
        <v>284</v>
      </c>
      <c r="B7" s="19">
        <v>7048.85</v>
      </c>
      <c r="C7" s="19">
        <v>15544.68</v>
      </c>
      <c r="D7" s="19">
        <v>9484.91</v>
      </c>
      <c r="E7" s="19">
        <v>7678.35</v>
      </c>
      <c r="F7" s="19">
        <v>10508.09</v>
      </c>
      <c r="G7" s="19">
        <v>11862.9</v>
      </c>
      <c r="H7" s="19">
        <v>9173.69</v>
      </c>
      <c r="I7" s="19">
        <v>27152.21</v>
      </c>
      <c r="J7" s="19">
        <v>10594.19</v>
      </c>
      <c r="K7" s="19">
        <v>9370.76</v>
      </c>
      <c r="L7" s="19">
        <v>30933.599999999999</v>
      </c>
      <c r="M7" s="51">
        <v>14735.8</v>
      </c>
      <c r="N7" s="60">
        <f t="shared" si="0"/>
        <v>164088.02999999997</v>
      </c>
      <c r="O7" s="19">
        <f>SUM('RC 2010'!B7:M7)</f>
        <v>158010.59999999998</v>
      </c>
      <c r="P7" s="22">
        <f t="shared" si="1"/>
        <v>3.846216646224998E-2</v>
      </c>
    </row>
    <row r="8" spans="1:16">
      <c r="A8" s="267" t="s">
        <v>285</v>
      </c>
      <c r="B8" s="19">
        <v>2046.17</v>
      </c>
      <c r="C8" s="19">
        <v>4456.67</v>
      </c>
      <c r="D8" s="19">
        <v>927.78</v>
      </c>
      <c r="E8" s="19">
        <v>913.72</v>
      </c>
      <c r="F8" s="19">
        <v>2537.8200000000002</v>
      </c>
      <c r="G8" s="19">
        <v>2939.84</v>
      </c>
      <c r="H8" s="19">
        <v>7194.31</v>
      </c>
      <c r="I8" s="19">
        <v>8165.75</v>
      </c>
      <c r="J8" s="19">
        <v>5051.1099999999997</v>
      </c>
      <c r="K8" s="19">
        <v>5603.73</v>
      </c>
      <c r="L8" s="19">
        <v>10894.68</v>
      </c>
      <c r="M8" s="51">
        <v>3558.81</v>
      </c>
      <c r="N8" s="60">
        <f t="shared" si="0"/>
        <v>54290.389999999992</v>
      </c>
      <c r="O8" s="19">
        <f>SUM('RC 2010'!B8:M8)</f>
        <v>51881.160000000011</v>
      </c>
      <c r="P8" s="22">
        <f t="shared" si="1"/>
        <v>4.6437473641683713E-2</v>
      </c>
    </row>
    <row r="9" spans="1:16">
      <c r="A9" s="267" t="s">
        <v>180</v>
      </c>
      <c r="B9" s="19">
        <v>122339.35</v>
      </c>
      <c r="C9" s="19">
        <v>151584.42000000001</v>
      </c>
      <c r="D9" s="19">
        <v>98848.09</v>
      </c>
      <c r="E9" s="19">
        <v>103264.13</v>
      </c>
      <c r="F9" s="19">
        <v>201307.25</v>
      </c>
      <c r="G9" s="19">
        <v>255904.05</v>
      </c>
      <c r="H9" s="19">
        <v>264260.15999999997</v>
      </c>
      <c r="I9" s="19">
        <v>361229.63</v>
      </c>
      <c r="J9" s="19">
        <v>214330.21</v>
      </c>
      <c r="K9" s="19">
        <v>275219.94</v>
      </c>
      <c r="L9" s="19">
        <v>323222.44</v>
      </c>
      <c r="M9" s="99">
        <v>221851.02</v>
      </c>
      <c r="N9" s="60">
        <f t="shared" si="0"/>
        <v>2593360.69</v>
      </c>
      <c r="O9" s="19">
        <f>SUM('RC 2010'!B9:M9)</f>
        <v>2418832.7999999993</v>
      </c>
      <c r="P9" s="22">
        <f t="shared" si="1"/>
        <v>7.2153763583824748E-2</v>
      </c>
    </row>
    <row r="10" spans="1:16">
      <c r="A10" s="267" t="s">
        <v>183</v>
      </c>
      <c r="B10" s="19">
        <v>11533.73</v>
      </c>
      <c r="C10" s="19">
        <v>45405.35</v>
      </c>
      <c r="D10" s="19">
        <v>32242.28</v>
      </c>
      <c r="E10" s="19">
        <v>28118.62</v>
      </c>
      <c r="F10" s="19">
        <v>30832.19</v>
      </c>
      <c r="G10" s="19">
        <v>14078.59</v>
      </c>
      <c r="H10" s="19">
        <v>6479.4</v>
      </c>
      <c r="I10" s="19">
        <v>22955.78</v>
      </c>
      <c r="J10" s="19">
        <v>5509.08</v>
      </c>
      <c r="K10" s="19">
        <v>6521.82</v>
      </c>
      <c r="L10" s="19">
        <v>9906.7199999999993</v>
      </c>
      <c r="M10" s="99">
        <v>4568.93</v>
      </c>
      <c r="N10" s="60">
        <f t="shared" si="0"/>
        <v>218152.48999999996</v>
      </c>
      <c r="O10" s="19">
        <f>SUM('RC 2010'!B10:M10)</f>
        <v>224635.82</v>
      </c>
      <c r="P10" s="22">
        <f t="shared" si="1"/>
        <v>-2.886151460617481E-2</v>
      </c>
    </row>
    <row r="11" spans="1:16">
      <c r="A11" s="267" t="s">
        <v>188</v>
      </c>
      <c r="B11" s="19">
        <v>27153.96</v>
      </c>
      <c r="C11" s="19">
        <v>57916.67</v>
      </c>
      <c r="D11" s="19">
        <v>26945.95</v>
      </c>
      <c r="E11" s="19">
        <v>23872.75</v>
      </c>
      <c r="F11" s="19">
        <v>42413.63</v>
      </c>
      <c r="G11" s="19">
        <v>43746.19</v>
      </c>
      <c r="H11" s="19">
        <v>39979.47</v>
      </c>
      <c r="I11" s="19">
        <v>91122.85</v>
      </c>
      <c r="J11" s="19">
        <v>43356.4</v>
      </c>
      <c r="K11" s="19">
        <v>45946.77</v>
      </c>
      <c r="L11" s="19">
        <v>88156.29</v>
      </c>
      <c r="M11" s="99">
        <v>41262.68</v>
      </c>
      <c r="N11" s="60">
        <f t="shared" si="0"/>
        <v>571873.6100000001</v>
      </c>
      <c r="O11" s="19">
        <f>SUM('RC 2010'!B11:M11)</f>
        <v>505924.47</v>
      </c>
      <c r="P11" s="22">
        <f t="shared" si="1"/>
        <v>0.13035372651573884</v>
      </c>
    </row>
    <row r="12" spans="1:16">
      <c r="A12" s="267" t="s">
        <v>286</v>
      </c>
      <c r="B12" s="19">
        <v>3344.13</v>
      </c>
      <c r="C12" s="19">
        <v>3257.64</v>
      </c>
      <c r="D12" s="19">
        <v>2566.09</v>
      </c>
      <c r="E12" s="19">
        <v>2340.04</v>
      </c>
      <c r="F12" s="19">
        <v>3079.05</v>
      </c>
      <c r="G12" s="19">
        <v>6522.48</v>
      </c>
      <c r="H12" s="19">
        <v>7911.32</v>
      </c>
      <c r="I12" s="19">
        <v>10478.34</v>
      </c>
      <c r="J12" s="19">
        <v>12473.14</v>
      </c>
      <c r="K12" s="19">
        <v>7890</v>
      </c>
      <c r="L12" s="19">
        <v>10670.25</v>
      </c>
      <c r="M12" s="99">
        <v>6947.13</v>
      </c>
      <c r="N12" s="60">
        <f t="shared" si="0"/>
        <v>77479.61</v>
      </c>
      <c r="O12" s="19">
        <f>SUM('RC 2010'!B12:M12)</f>
        <v>64437</v>
      </c>
      <c r="P12" s="22">
        <f t="shared" si="1"/>
        <v>0.20240870928193422</v>
      </c>
    </row>
    <row r="13" spans="1:16">
      <c r="A13" s="267" t="s">
        <v>287</v>
      </c>
      <c r="B13" s="19">
        <v>2819.89</v>
      </c>
      <c r="C13" s="19">
        <v>8522.84</v>
      </c>
      <c r="D13" s="19">
        <v>4563.21</v>
      </c>
      <c r="E13" s="19">
        <v>2879.95</v>
      </c>
      <c r="F13" s="19">
        <v>6788.2</v>
      </c>
      <c r="G13" s="19">
        <v>3777.52</v>
      </c>
      <c r="H13" s="19">
        <v>9033.19</v>
      </c>
      <c r="I13" s="19">
        <v>33712.43</v>
      </c>
      <c r="J13" s="19">
        <v>22305.89</v>
      </c>
      <c r="K13" s="19">
        <v>19915.009999999998</v>
      </c>
      <c r="L13" s="19">
        <v>61269.53</v>
      </c>
      <c r="M13" s="99">
        <v>7324.35</v>
      </c>
      <c r="N13" s="60">
        <f t="shared" si="0"/>
        <v>182912.01</v>
      </c>
      <c r="O13" s="19">
        <f>SUM('RC 2010'!B13:M13)</f>
        <v>124635.79999999999</v>
      </c>
      <c r="P13" s="22">
        <f t="shared" si="1"/>
        <v>0.46757199777271086</v>
      </c>
    </row>
    <row r="14" spans="1:16">
      <c r="A14" s="267" t="s">
        <v>288</v>
      </c>
      <c r="B14" s="19">
        <v>56819</v>
      </c>
      <c r="C14" s="19">
        <v>95240.3</v>
      </c>
      <c r="D14" s="19">
        <v>111201.27</v>
      </c>
      <c r="E14" s="19">
        <v>137060.96</v>
      </c>
      <c r="F14" s="19">
        <v>133080.70000000001</v>
      </c>
      <c r="G14" s="19">
        <v>29777.75</v>
      </c>
      <c r="H14" s="19">
        <v>5715.91</v>
      </c>
      <c r="I14" s="19">
        <v>9937.4</v>
      </c>
      <c r="J14" s="19">
        <v>8049.86</v>
      </c>
      <c r="K14" s="19">
        <v>8501.64</v>
      </c>
      <c r="L14" s="19">
        <v>9493.44</v>
      </c>
      <c r="M14" s="99">
        <v>7182.3</v>
      </c>
      <c r="N14" s="60">
        <f t="shared" si="0"/>
        <v>612060.53</v>
      </c>
      <c r="O14" s="19">
        <f>SUM('RC 2010'!B14:M14)</f>
        <v>584201.19999999995</v>
      </c>
      <c r="P14" s="22">
        <f t="shared" si="1"/>
        <v>4.7687902729402154E-2</v>
      </c>
    </row>
    <row r="15" spans="1:16">
      <c r="A15" s="267" t="s">
        <v>209</v>
      </c>
      <c r="B15" s="19">
        <v>0</v>
      </c>
      <c r="C15" s="19">
        <v>0</v>
      </c>
      <c r="D15" s="19">
        <v>10.51</v>
      </c>
      <c r="E15" s="19">
        <v>0</v>
      </c>
      <c r="F15" s="19">
        <v>0</v>
      </c>
      <c r="G15" s="19">
        <v>207.06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99">
        <v>16.13</v>
      </c>
      <c r="N15" s="332">
        <f t="shared" si="0"/>
        <v>233.7</v>
      </c>
      <c r="O15" s="19">
        <f>SUM('RC 2010'!B15:M15)</f>
        <v>282.66000000000003</v>
      </c>
      <c r="P15" s="22">
        <f t="shared" si="1"/>
        <v>-0.17321163234981973</v>
      </c>
    </row>
    <row r="16" spans="1:16">
      <c r="A16" s="267" t="s">
        <v>289</v>
      </c>
      <c r="B16" s="19">
        <v>417188.87</v>
      </c>
      <c r="C16" s="19">
        <v>969961.03</v>
      </c>
      <c r="D16" s="19">
        <v>935441.17</v>
      </c>
      <c r="E16" s="19">
        <v>845413.45</v>
      </c>
      <c r="F16" s="19">
        <v>1283691.24</v>
      </c>
      <c r="G16" s="19">
        <v>334783.51</v>
      </c>
      <c r="H16" s="19">
        <v>210206.1</v>
      </c>
      <c r="I16" s="19">
        <v>419350.46</v>
      </c>
      <c r="J16" s="19">
        <v>349462.16</v>
      </c>
      <c r="K16" s="19">
        <v>371970.29</v>
      </c>
      <c r="L16" s="19">
        <v>424719.71</v>
      </c>
      <c r="M16" s="51">
        <v>305214.83</v>
      </c>
      <c r="N16" s="60">
        <f t="shared" si="0"/>
        <v>6867402.8199999994</v>
      </c>
      <c r="O16" s="19">
        <f>SUM('RC 2010'!B16:M16)</f>
        <v>6060639.1099999994</v>
      </c>
      <c r="P16" s="22">
        <f>N16/O16-1</f>
        <v>0.13311528625237679</v>
      </c>
    </row>
    <row r="17" spans="1:16">
      <c r="A17" s="267" t="s">
        <v>290</v>
      </c>
      <c r="B17" s="19">
        <v>1022.74</v>
      </c>
      <c r="C17" s="19">
        <v>3157.46</v>
      </c>
      <c r="D17" s="19">
        <v>4391.3900000000003</v>
      </c>
      <c r="E17" s="19">
        <v>4060.97</v>
      </c>
      <c r="F17" s="19">
        <v>2990.78</v>
      </c>
      <c r="G17" s="19">
        <v>2514.9699999999998</v>
      </c>
      <c r="H17" s="19">
        <v>1417.49</v>
      </c>
      <c r="I17" s="19">
        <v>1542.28</v>
      </c>
      <c r="J17" s="19">
        <v>2366.33</v>
      </c>
      <c r="K17" s="19">
        <v>2091.65</v>
      </c>
      <c r="L17" s="19">
        <v>1941.16</v>
      </c>
      <c r="M17" s="51">
        <v>2087.04</v>
      </c>
      <c r="N17" s="60">
        <f t="shared" si="0"/>
        <v>29584.260000000006</v>
      </c>
      <c r="O17" s="19">
        <f>SUM('RC 2010'!B17:M17)</f>
        <v>25300.510000000002</v>
      </c>
      <c r="P17" s="22">
        <f>N17/O17-1</f>
        <v>0.16931476875367357</v>
      </c>
    </row>
    <row r="18" spans="1:16">
      <c r="A18" s="267" t="s">
        <v>230</v>
      </c>
      <c r="B18" s="19">
        <v>23376.16</v>
      </c>
      <c r="C18" s="19">
        <v>29829.51</v>
      </c>
      <c r="D18" s="19">
        <v>33637.89</v>
      </c>
      <c r="E18" s="19">
        <v>25306.78</v>
      </c>
      <c r="F18" s="19">
        <v>25400.27</v>
      </c>
      <c r="G18" s="19">
        <v>22965.79</v>
      </c>
      <c r="H18" s="19">
        <v>25250.639999999999</v>
      </c>
      <c r="I18" s="19">
        <v>33635.4</v>
      </c>
      <c r="J18" s="19">
        <v>41464.19</v>
      </c>
      <c r="K18" s="19">
        <v>35335.9</v>
      </c>
      <c r="L18" s="19">
        <v>37056.67</v>
      </c>
      <c r="M18" s="51">
        <v>21809.38</v>
      </c>
      <c r="N18" s="60">
        <f t="shared" si="0"/>
        <v>355068.57999999996</v>
      </c>
      <c r="O18" s="19">
        <f>SUM('RC 2010'!B18:M18)</f>
        <v>387638.58</v>
      </c>
      <c r="P18" s="22">
        <f>N18/O18-1</f>
        <v>-8.4021564623418143E-2</v>
      </c>
    </row>
    <row r="19" spans="1:16" ht="13" thickBot="1">
      <c r="A19" s="296" t="s">
        <v>238</v>
      </c>
      <c r="B19" s="96">
        <v>22427.21</v>
      </c>
      <c r="C19" s="96">
        <v>27652.34</v>
      </c>
      <c r="D19" s="96">
        <v>10324.15</v>
      </c>
      <c r="E19" s="96">
        <v>18619.66</v>
      </c>
      <c r="F19" s="96">
        <v>44749</v>
      </c>
      <c r="G19" s="96">
        <v>64289.11</v>
      </c>
      <c r="H19" s="96">
        <v>80450.710000000006</v>
      </c>
      <c r="I19" s="96">
        <v>128527.42</v>
      </c>
      <c r="J19" s="96">
        <v>59930.76</v>
      </c>
      <c r="K19" s="96">
        <v>102757.06</v>
      </c>
      <c r="L19" s="96">
        <v>97369.59</v>
      </c>
      <c r="M19" s="328">
        <v>54305.22</v>
      </c>
      <c r="N19" s="62">
        <f t="shared" si="0"/>
        <v>711402.22999999986</v>
      </c>
      <c r="O19" s="19">
        <f>SUM('RC 2010'!B19:M19)</f>
        <v>702225.72999999986</v>
      </c>
      <c r="P19" s="297">
        <f>N19/O19-1</f>
        <v>1.3067735356264931E-2</v>
      </c>
    </row>
    <row r="20" spans="1:16" ht="13" thickBot="1">
      <c r="A20" s="275" t="s">
        <v>54</v>
      </c>
      <c r="B20" s="306">
        <f t="shared" ref="B20:O20" si="2">SUM(B4:B19)</f>
        <v>721920.17</v>
      </c>
      <c r="C20" s="306">
        <f t="shared" si="2"/>
        <v>1438196.75</v>
      </c>
      <c r="D20" s="306">
        <f t="shared" si="2"/>
        <v>1294521.7099999997</v>
      </c>
      <c r="E20" s="306">
        <f t="shared" si="2"/>
        <v>1224200.2999999998</v>
      </c>
      <c r="F20" s="306">
        <f t="shared" si="2"/>
        <v>1821410.74</v>
      </c>
      <c r="G20" s="306">
        <f t="shared" si="2"/>
        <v>851034.47000000009</v>
      </c>
      <c r="H20" s="306">
        <f t="shared" si="2"/>
        <v>737025.2</v>
      </c>
      <c r="I20" s="306">
        <f t="shared" si="2"/>
        <v>1245765.72</v>
      </c>
      <c r="J20" s="306">
        <f t="shared" si="2"/>
        <v>855304.29</v>
      </c>
      <c r="K20" s="306">
        <f t="shared" si="2"/>
        <v>980581.97</v>
      </c>
      <c r="L20" s="306">
        <f t="shared" si="2"/>
        <v>1201251.98</v>
      </c>
      <c r="M20" s="319">
        <f t="shared" si="2"/>
        <v>759202.74</v>
      </c>
      <c r="N20" s="329">
        <f t="shared" si="2"/>
        <v>13130416.039999999</v>
      </c>
      <c r="O20" s="273">
        <f t="shared" si="2"/>
        <v>12022073.629999999</v>
      </c>
      <c r="P20" s="274">
        <f>N20/O20-1</f>
        <v>9.2192282638681622E-2</v>
      </c>
    </row>
    <row r="21" spans="1:16" s="222" customFormat="1">
      <c r="A21" s="330" t="s">
        <v>265</v>
      </c>
      <c r="B21" s="28">
        <f>B20/'RC 2010'!B20-1</f>
        <v>0.19629320537700834</v>
      </c>
      <c r="C21" s="28">
        <f>C20/'RC 2010'!C20-1</f>
        <v>0.10637019581196605</v>
      </c>
      <c r="D21" s="28">
        <f>D20/'RC 2010'!D20-1</f>
        <v>2.2678593877408781E-2</v>
      </c>
      <c r="E21" s="28">
        <f>E20/'RC 2010'!E20-1</f>
        <v>2.8915277386942773E-2</v>
      </c>
      <c r="F21" s="28">
        <f>F20/'RC 2010'!F20-1</f>
        <v>0.17817942041495405</v>
      </c>
      <c r="G21" s="28">
        <f>G20/'RC 2010'!G20-1</f>
        <v>5.7641724247085024E-2</v>
      </c>
      <c r="H21" s="28">
        <f>H20/'RC 2010'!H20-1</f>
        <v>1.480831463368526E-2</v>
      </c>
      <c r="I21" s="28">
        <f>I20/'RC 2010'!I20-1</f>
        <v>0.12159736569881718</v>
      </c>
      <c r="J21" s="28">
        <f>J20/'RC 2010'!J20-1</f>
        <v>-1.327897415676027E-2</v>
      </c>
      <c r="K21" s="28">
        <f>K20/'RC 2010'!K20-1</f>
        <v>0.13477458450267732</v>
      </c>
      <c r="L21" s="28">
        <f>L20/'RC 2010'!L20-1</f>
        <v>0.17730244598599221</v>
      </c>
      <c r="M21" s="28">
        <f>M20/'RC 2010'!M20-1</f>
        <v>4.831490890629242E-2</v>
      </c>
      <c r="N21" s="331"/>
      <c r="O21" s="323"/>
      <c r="P21" s="1"/>
    </row>
    <row r="23" spans="1:16">
      <c r="H23" s="1"/>
      <c r="I23" s="1"/>
    </row>
    <row r="24" spans="1:16">
      <c r="H24" s="243"/>
      <c r="I24" s="1"/>
    </row>
    <row r="25" spans="1:16">
      <c r="A25" s="287"/>
      <c r="H25" s="243"/>
      <c r="I25" s="1"/>
    </row>
    <row r="26" spans="1:16">
      <c r="A26" s="287"/>
      <c r="H26" s="243"/>
      <c r="I26" s="1"/>
    </row>
    <row r="27" spans="1:16">
      <c r="H27" s="243"/>
      <c r="I27" s="1"/>
    </row>
    <row r="28" spans="1:16">
      <c r="H28" s="1"/>
      <c r="I28" s="1"/>
    </row>
  </sheetData>
  <mergeCells count="1">
    <mergeCell ref="A1:P1"/>
  </mergeCells>
  <printOptions horizontalCentered="1"/>
  <pageMargins left="0" right="0" top="1" bottom="1" header="0.5" footer="0.5"/>
  <pageSetup scale="91" orientation="landscape"/>
  <headerFooter alignWithMargins="0"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 enableFormatConditionsCalculation="0">
    <tabColor rgb="FF7030A0"/>
    <pageSetUpPr fitToPage="1"/>
  </sheetPr>
  <dimension ref="A1:P28"/>
  <sheetViews>
    <sheetView workbookViewId="0">
      <selection activeCell="H50" sqref="H50"/>
    </sheetView>
  </sheetViews>
  <sheetFormatPr baseColWidth="10" defaultColWidth="8.83203125" defaultRowHeight="12" x14ac:dyDescent="0"/>
  <cols>
    <col min="1" max="1" width="10.83203125" bestFit="1" customWidth="1"/>
    <col min="14" max="14" width="12" bestFit="1" customWidth="1"/>
    <col min="15" max="15" width="9.5" bestFit="1" customWidth="1"/>
  </cols>
  <sheetData>
    <row r="1" spans="1:16" ht="23">
      <c r="A1" s="711" t="s">
        <v>295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</row>
    <row r="2" spans="1:16" ht="13" thickBot="1"/>
    <row r="3" spans="1:16" ht="13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310" t="s">
        <v>13</v>
      </c>
      <c r="N3" s="25" t="s">
        <v>107</v>
      </c>
      <c r="O3" s="251" t="s">
        <v>100</v>
      </c>
      <c r="P3" s="253" t="s">
        <v>16</v>
      </c>
    </row>
    <row r="4" spans="1:16">
      <c r="A4" s="267" t="s">
        <v>176</v>
      </c>
      <c r="B4" s="19">
        <v>21436.87</v>
      </c>
      <c r="C4" s="19">
        <v>27107.78</v>
      </c>
      <c r="D4" s="19">
        <v>15638.39</v>
      </c>
      <c r="E4" s="19">
        <v>16464.37</v>
      </c>
      <c r="F4" s="19">
        <v>35262.550000000003</v>
      </c>
      <c r="G4" s="19">
        <v>17543.52</v>
      </c>
      <c r="H4" s="19">
        <v>24656.17</v>
      </c>
      <c r="I4" s="19">
        <v>55680.79</v>
      </c>
      <c r="J4" s="19">
        <v>39365.06</v>
      </c>
      <c r="K4" s="19">
        <v>26973.439999999999</v>
      </c>
      <c r="L4" s="19">
        <v>41443.71</v>
      </c>
      <c r="M4" s="51">
        <v>33389.54</v>
      </c>
      <c r="N4" s="106">
        <f t="shared" ref="N4:N15" si="0">SUM(B4:M4)</f>
        <v>354962.18999999994</v>
      </c>
      <c r="O4" s="19">
        <f>SUM('RC 2009'!B4:M4)</f>
        <v>345173.06999999995</v>
      </c>
      <c r="P4" s="22">
        <f t="shared" ref="P4:P9" si="1">N4/O4-1</f>
        <v>2.836003399685838E-2</v>
      </c>
    </row>
    <row r="5" spans="1:16">
      <c r="A5" s="267" t="s">
        <v>282</v>
      </c>
      <c r="B5" s="19">
        <v>2040.94</v>
      </c>
      <c r="C5" s="19">
        <v>1761.22</v>
      </c>
      <c r="D5" s="19">
        <v>719.74</v>
      </c>
      <c r="E5" s="19">
        <v>889.55</v>
      </c>
      <c r="F5" s="19">
        <v>2153.59</v>
      </c>
      <c r="G5" s="19">
        <v>2442.75</v>
      </c>
      <c r="H5" s="19">
        <v>4366.6899999999996</v>
      </c>
      <c r="I5" s="19">
        <v>4559.62</v>
      </c>
      <c r="J5" s="19">
        <v>2666.96</v>
      </c>
      <c r="K5" s="19">
        <v>4969.84</v>
      </c>
      <c r="L5" s="19">
        <v>4347.26</v>
      </c>
      <c r="M5" s="51">
        <v>2345.79</v>
      </c>
      <c r="N5" s="60">
        <f t="shared" si="0"/>
        <v>33263.949999999997</v>
      </c>
      <c r="O5" s="19">
        <f>SUM('RC 2009'!B5:M5)</f>
        <v>42515.039999999994</v>
      </c>
      <c r="P5" s="22">
        <f t="shared" si="1"/>
        <v>-0.21759570260312577</v>
      </c>
    </row>
    <row r="6" spans="1:16">
      <c r="A6" s="267" t="s">
        <v>283</v>
      </c>
      <c r="B6" s="19">
        <v>9773.99</v>
      </c>
      <c r="C6" s="19">
        <v>4755.4799999999996</v>
      </c>
      <c r="D6" s="19">
        <v>4550.6499999999996</v>
      </c>
      <c r="E6" s="19">
        <v>5156.72</v>
      </c>
      <c r="F6" s="19">
        <v>11323.51</v>
      </c>
      <c r="G6" s="19">
        <v>21478.080000000002</v>
      </c>
      <c r="H6" s="19">
        <v>40688.92</v>
      </c>
      <c r="I6" s="19">
        <v>48003.85</v>
      </c>
      <c r="J6" s="19">
        <v>51744.37</v>
      </c>
      <c r="K6" s="19">
        <v>49273.69</v>
      </c>
      <c r="L6" s="19">
        <v>45519.21</v>
      </c>
      <c r="M6" s="51">
        <v>32933.58</v>
      </c>
      <c r="N6" s="60">
        <f t="shared" si="0"/>
        <v>325202.05000000005</v>
      </c>
      <c r="O6" s="19">
        <f>SUM('RC 2009'!B6:M6)</f>
        <v>305934.82999999996</v>
      </c>
      <c r="P6" s="22">
        <f t="shared" si="1"/>
        <v>6.2978183948522837E-2</v>
      </c>
    </row>
    <row r="7" spans="1:16">
      <c r="A7" s="267" t="s">
        <v>284</v>
      </c>
      <c r="B7" s="19">
        <v>8812.52</v>
      </c>
      <c r="C7" s="19">
        <v>14985</v>
      </c>
      <c r="D7" s="19">
        <v>6330.96</v>
      </c>
      <c r="E7" s="19">
        <v>7625.79</v>
      </c>
      <c r="F7" s="19">
        <v>11610.34</v>
      </c>
      <c r="G7" s="19">
        <v>7231.31</v>
      </c>
      <c r="H7" s="19">
        <v>10179.75</v>
      </c>
      <c r="I7" s="19">
        <v>26431</v>
      </c>
      <c r="J7" s="19">
        <v>13844.58</v>
      </c>
      <c r="K7" s="19">
        <v>12904.25</v>
      </c>
      <c r="L7" s="19">
        <v>27807.96</v>
      </c>
      <c r="M7" s="51">
        <v>10247.14</v>
      </c>
      <c r="N7" s="60">
        <f t="shared" si="0"/>
        <v>158010.59999999998</v>
      </c>
      <c r="O7" s="19">
        <f>SUM('RC 2009'!B7:M7)</f>
        <v>151315.20000000001</v>
      </c>
      <c r="P7" s="22">
        <f t="shared" si="1"/>
        <v>4.4248033244511875E-2</v>
      </c>
    </row>
    <row r="8" spans="1:16">
      <c r="A8" s="267" t="s">
        <v>285</v>
      </c>
      <c r="B8" s="19">
        <v>2258.17</v>
      </c>
      <c r="C8" s="19">
        <v>1796.4</v>
      </c>
      <c r="D8" s="19">
        <v>1569.39</v>
      </c>
      <c r="E8" s="19">
        <v>2411.11</v>
      </c>
      <c r="F8" s="19">
        <v>1961.93</v>
      </c>
      <c r="G8" s="19">
        <v>3694.41</v>
      </c>
      <c r="H8" s="19">
        <v>4528.1000000000004</v>
      </c>
      <c r="I8" s="19">
        <v>9899.89</v>
      </c>
      <c r="J8" s="19">
        <v>5203.1899999999996</v>
      </c>
      <c r="K8" s="19">
        <v>5735.65</v>
      </c>
      <c r="L8" s="19">
        <v>9945.69</v>
      </c>
      <c r="M8" s="51">
        <v>2877.23</v>
      </c>
      <c r="N8" s="60">
        <f t="shared" si="0"/>
        <v>51881.160000000011</v>
      </c>
      <c r="O8" s="19">
        <f>SUM('RC 2009'!B8:M8)</f>
        <v>47920.54</v>
      </c>
      <c r="P8" s="22">
        <f t="shared" si="1"/>
        <v>8.2649736417828468E-2</v>
      </c>
    </row>
    <row r="9" spans="1:16">
      <c r="A9" s="267" t="s">
        <v>180</v>
      </c>
      <c r="B9" s="19">
        <v>115698</v>
      </c>
      <c r="C9" s="19">
        <v>150593.87</v>
      </c>
      <c r="D9" s="19">
        <v>83240.73</v>
      </c>
      <c r="E9" s="19">
        <v>95388.11</v>
      </c>
      <c r="F9" s="19">
        <v>192281.12</v>
      </c>
      <c r="G9" s="19">
        <v>229795.78</v>
      </c>
      <c r="H9" s="19">
        <v>274815.58</v>
      </c>
      <c r="I9" s="19">
        <v>318471.40000000002</v>
      </c>
      <c r="J9" s="19">
        <v>224043.16</v>
      </c>
      <c r="K9" s="19">
        <v>243902.02</v>
      </c>
      <c r="L9" s="19">
        <v>282161</v>
      </c>
      <c r="M9" s="99">
        <v>208442.03</v>
      </c>
      <c r="N9" s="60">
        <f t="shared" si="0"/>
        <v>2418832.7999999993</v>
      </c>
      <c r="O9" s="19">
        <f>SUM('RC 2009'!B9:M9)</f>
        <v>2318972.27</v>
      </c>
      <c r="P9" s="22">
        <f t="shared" si="1"/>
        <v>4.3062407986447893E-2</v>
      </c>
    </row>
    <row r="10" spans="1:16">
      <c r="A10" s="267" t="s">
        <v>183</v>
      </c>
      <c r="B10" s="19">
        <v>12105.61</v>
      </c>
      <c r="C10" s="19">
        <v>45169.64</v>
      </c>
      <c r="D10" s="19">
        <v>36785.919999999998</v>
      </c>
      <c r="E10" s="19">
        <v>34855.39</v>
      </c>
      <c r="F10" s="19">
        <v>40740.89</v>
      </c>
      <c r="G10" s="19">
        <v>11598</v>
      </c>
      <c r="H10" s="19">
        <v>3862.49</v>
      </c>
      <c r="I10" s="19">
        <v>11917.21</v>
      </c>
      <c r="J10" s="19">
        <v>6601.98</v>
      </c>
      <c r="K10" s="19">
        <v>6344</v>
      </c>
      <c r="L10" s="19">
        <v>9223.01</v>
      </c>
      <c r="M10" s="99">
        <v>5431.68</v>
      </c>
      <c r="N10" s="60">
        <f t="shared" si="0"/>
        <v>224635.82</v>
      </c>
      <c r="O10" s="19">
        <f>SUM('RC 2009'!B11:M11)</f>
        <v>211179.14</v>
      </c>
      <c r="P10" s="22">
        <f>N10/O10-1</f>
        <v>6.3721634627359469E-2</v>
      </c>
    </row>
    <row r="11" spans="1:16">
      <c r="A11" s="267" t="s">
        <v>188</v>
      </c>
      <c r="B11" s="19">
        <v>3416.52</v>
      </c>
      <c r="C11" s="19">
        <v>40838.93</v>
      </c>
      <c r="D11" s="19">
        <v>25864.78</v>
      </c>
      <c r="E11" s="19">
        <v>25828.12</v>
      </c>
      <c r="F11" s="19">
        <v>45243.48</v>
      </c>
      <c r="G11" s="19">
        <v>34999.410000000003</v>
      </c>
      <c r="H11" s="19">
        <v>42332.56</v>
      </c>
      <c r="I11" s="19">
        <v>79242.490000000005</v>
      </c>
      <c r="J11" s="19">
        <v>44134.76</v>
      </c>
      <c r="K11" s="19">
        <v>43836.35</v>
      </c>
      <c r="L11" s="19">
        <v>84013.37</v>
      </c>
      <c r="M11" s="99">
        <v>36173.699999999997</v>
      </c>
      <c r="N11" s="60">
        <f t="shared" si="0"/>
        <v>505924.47</v>
      </c>
      <c r="O11" s="19">
        <f>SUM('RC 2009'!B12:M12)</f>
        <v>510851.37</v>
      </c>
      <c r="P11" s="22">
        <f>N11/O11-1</f>
        <v>-9.6444881805837213E-3</v>
      </c>
    </row>
    <row r="12" spans="1:16">
      <c r="A12" s="267" t="s">
        <v>286</v>
      </c>
      <c r="B12" s="19">
        <v>2968.96</v>
      </c>
      <c r="C12" s="19">
        <v>2880.63</v>
      </c>
      <c r="D12" s="19">
        <v>2076.4499999999998</v>
      </c>
      <c r="E12" s="19">
        <v>2319.4499999999998</v>
      </c>
      <c r="F12" s="19">
        <v>4078.35</v>
      </c>
      <c r="G12" s="19">
        <v>4204.9799999999996</v>
      </c>
      <c r="H12" s="19">
        <v>7128</v>
      </c>
      <c r="I12" s="19">
        <v>9109.9699999999993</v>
      </c>
      <c r="J12" s="19">
        <v>6547.6</v>
      </c>
      <c r="K12" s="19">
        <v>7426.18</v>
      </c>
      <c r="L12" s="19">
        <v>10115.870000000001</v>
      </c>
      <c r="M12" s="99">
        <v>5580.56</v>
      </c>
      <c r="N12" s="60">
        <f t="shared" si="0"/>
        <v>64437</v>
      </c>
      <c r="O12" s="19">
        <f>SUM('RC 2009'!B13:M13)</f>
        <v>63890.47</v>
      </c>
      <c r="P12" s="22">
        <f>N12/O12-1</f>
        <v>8.5541709115615205E-3</v>
      </c>
    </row>
    <row r="13" spans="1:16">
      <c r="A13" s="267" t="s">
        <v>287</v>
      </c>
      <c r="B13" s="19">
        <v>6497.35</v>
      </c>
      <c r="C13" s="19">
        <v>6164.96</v>
      </c>
      <c r="D13" s="19">
        <v>2886.07</v>
      </c>
      <c r="E13" s="19">
        <v>3685.64</v>
      </c>
      <c r="F13" s="19">
        <v>8825.9500000000007</v>
      </c>
      <c r="G13" s="19">
        <v>4107.96</v>
      </c>
      <c r="H13" s="19">
        <v>7448.08</v>
      </c>
      <c r="I13" s="19">
        <v>16919.849999999999</v>
      </c>
      <c r="J13" s="19">
        <v>17569.87</v>
      </c>
      <c r="K13" s="19">
        <v>15825.57</v>
      </c>
      <c r="L13" s="19">
        <v>30130.880000000001</v>
      </c>
      <c r="M13" s="99">
        <v>4573.62</v>
      </c>
      <c r="N13" s="60">
        <f t="shared" si="0"/>
        <v>124635.79999999999</v>
      </c>
      <c r="O13" s="19">
        <f>SUM('RC 2009'!B14:M14)</f>
        <v>126156.83</v>
      </c>
      <c r="P13" s="22">
        <f>N13/O13-1</f>
        <v>-1.2056659952536908E-2</v>
      </c>
    </row>
    <row r="14" spans="1:16">
      <c r="A14" s="267" t="s">
        <v>288</v>
      </c>
      <c r="B14" s="19">
        <v>50330.89</v>
      </c>
      <c r="C14" s="19">
        <v>92755.48</v>
      </c>
      <c r="D14" s="19">
        <v>132947.06</v>
      </c>
      <c r="E14" s="19">
        <v>63952.480000000003</v>
      </c>
      <c r="F14" s="19">
        <v>164950.12</v>
      </c>
      <c r="G14" s="19">
        <v>44215.7</v>
      </c>
      <c r="H14" s="19">
        <v>1536.43</v>
      </c>
      <c r="I14" s="19">
        <v>7313.69</v>
      </c>
      <c r="J14" s="19">
        <v>4183.29</v>
      </c>
      <c r="K14" s="19">
        <v>5168.2299999999996</v>
      </c>
      <c r="L14" s="19">
        <v>7798.76</v>
      </c>
      <c r="M14" s="99">
        <v>9049.07</v>
      </c>
      <c r="N14" s="60">
        <f t="shared" si="0"/>
        <v>584201.19999999995</v>
      </c>
      <c r="O14" s="19">
        <f>SUM('RC 2009'!B15:M15)</f>
        <v>560205.39999999991</v>
      </c>
      <c r="P14" s="22">
        <f>N14/O14-1</f>
        <v>4.2833931982805051E-2</v>
      </c>
    </row>
    <row r="15" spans="1:16">
      <c r="A15" s="267" t="s">
        <v>209</v>
      </c>
      <c r="B15" s="19">
        <v>282.66000000000003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99">
        <v>0</v>
      </c>
      <c r="N15" s="332">
        <f t="shared" si="0"/>
        <v>282.66000000000003</v>
      </c>
      <c r="O15" s="19">
        <f>SUM('RC 2009'!B16:M16)</f>
        <v>0</v>
      </c>
      <c r="P15" s="22"/>
    </row>
    <row r="16" spans="1:16">
      <c r="A16" s="267" t="s">
        <v>289</v>
      </c>
      <c r="B16" s="19">
        <v>312599.74</v>
      </c>
      <c r="C16" s="19">
        <v>834440.29</v>
      </c>
      <c r="D16" s="19">
        <v>907329.17</v>
      </c>
      <c r="E16" s="19">
        <v>875256.66</v>
      </c>
      <c r="F16" s="19">
        <v>948571.05</v>
      </c>
      <c r="G16" s="19">
        <v>339639.23</v>
      </c>
      <c r="H16" s="19">
        <v>210941.39</v>
      </c>
      <c r="I16" s="19">
        <v>351564.01</v>
      </c>
      <c r="J16" s="19">
        <v>333460.18</v>
      </c>
      <c r="K16" s="19">
        <v>336804.98</v>
      </c>
      <c r="L16" s="19">
        <v>322116.65999999997</v>
      </c>
      <c r="M16" s="51">
        <v>287915.75</v>
      </c>
      <c r="N16" s="60">
        <f>SUM(B16:M16)</f>
        <v>6060639.1099999994</v>
      </c>
      <c r="O16" s="19">
        <f>SUM('RC 2009'!B17:M17)</f>
        <v>5443528.0099999998</v>
      </c>
      <c r="P16" s="22">
        <f>N16/O16-1</f>
        <v>0.11336601903514398</v>
      </c>
    </row>
    <row r="17" spans="1:16">
      <c r="A17" s="267" t="s">
        <v>290</v>
      </c>
      <c r="B17" s="19">
        <v>1208.46</v>
      </c>
      <c r="C17" s="19">
        <v>3017.66</v>
      </c>
      <c r="D17" s="19">
        <v>3728.07</v>
      </c>
      <c r="E17" s="19">
        <v>3851.58</v>
      </c>
      <c r="F17" s="19">
        <v>2104.54</v>
      </c>
      <c r="G17" s="19">
        <v>1531.39</v>
      </c>
      <c r="H17" s="19">
        <v>1366.81</v>
      </c>
      <c r="I17" s="19">
        <v>1255.25</v>
      </c>
      <c r="J17" s="19">
        <v>1976.66</v>
      </c>
      <c r="K17" s="19">
        <v>1953.8</v>
      </c>
      <c r="L17" s="19">
        <v>1738.34</v>
      </c>
      <c r="M17" s="51">
        <v>1567.95</v>
      </c>
      <c r="N17" s="60">
        <f>SUM(B17:M17)</f>
        <v>25300.510000000002</v>
      </c>
      <c r="O17" s="19">
        <f>SUM('RC 2009'!B18:M18)</f>
        <v>31451.758999999998</v>
      </c>
      <c r="P17" s="22">
        <f>N17/O17-1</f>
        <v>-0.195577264851864</v>
      </c>
    </row>
    <row r="18" spans="1:16">
      <c r="A18" s="267" t="s">
        <v>230</v>
      </c>
      <c r="B18" s="19">
        <v>20523.2</v>
      </c>
      <c r="C18" s="19">
        <v>39687.910000000003</v>
      </c>
      <c r="D18" s="19">
        <v>28108.1</v>
      </c>
      <c r="E18" s="19">
        <v>26112.18</v>
      </c>
      <c r="F18" s="19">
        <v>36023.980000000003</v>
      </c>
      <c r="G18" s="19">
        <v>21577.63</v>
      </c>
      <c r="H18" s="19">
        <v>22003.75</v>
      </c>
      <c r="I18" s="19">
        <v>46316.1</v>
      </c>
      <c r="J18" s="19">
        <v>42948.11</v>
      </c>
      <c r="K18" s="19">
        <v>37971.85</v>
      </c>
      <c r="L18" s="19">
        <v>40452.81</v>
      </c>
      <c r="M18" s="51">
        <v>25912.959999999999</v>
      </c>
      <c r="N18" s="60">
        <f>SUM(B18:M18)</f>
        <v>387638.58</v>
      </c>
      <c r="O18" s="19">
        <f>SUM('RC 2009'!B19:M19)</f>
        <v>323063.72000000003</v>
      </c>
      <c r="P18" s="22">
        <f>N18/O18-1</f>
        <v>0.19988273520777877</v>
      </c>
    </row>
    <row r="19" spans="1:16" ht="13" thickBot="1">
      <c r="A19" s="296" t="s">
        <v>238</v>
      </c>
      <c r="B19" s="96">
        <v>33510.36</v>
      </c>
      <c r="C19" s="96">
        <v>33968.370000000003</v>
      </c>
      <c r="D19" s="96">
        <v>14039.33</v>
      </c>
      <c r="E19" s="96">
        <v>25999.84</v>
      </c>
      <c r="F19" s="96">
        <v>40822.22</v>
      </c>
      <c r="G19" s="96">
        <v>60592.74</v>
      </c>
      <c r="H19" s="96">
        <v>70415.64</v>
      </c>
      <c r="I19" s="96">
        <v>124021.59</v>
      </c>
      <c r="J19" s="96">
        <v>72524.929999999993</v>
      </c>
      <c r="K19" s="96">
        <v>65030.64</v>
      </c>
      <c r="L19" s="96">
        <v>103528.19</v>
      </c>
      <c r="M19" s="328">
        <v>57771.88</v>
      </c>
      <c r="N19" s="62">
        <f>SUM(B19:M19)</f>
        <v>702225.72999999986</v>
      </c>
      <c r="O19" s="96">
        <f>SUM('RC 2009'!B21:M21)</f>
        <v>653274.13</v>
      </c>
      <c r="P19" s="297">
        <f>N19/O19-1</f>
        <v>7.4932708570596418E-2</v>
      </c>
    </row>
    <row r="20" spans="1:16" ht="13" thickBot="1">
      <c r="A20" s="275" t="s">
        <v>54</v>
      </c>
      <c r="B20" s="306">
        <f t="shared" ref="B20:O20" si="2">SUM(B4:B19)</f>
        <v>603464.23999999987</v>
      </c>
      <c r="C20" s="306">
        <f t="shared" si="2"/>
        <v>1299923.6200000001</v>
      </c>
      <c r="D20" s="306">
        <f t="shared" si="2"/>
        <v>1265814.8100000003</v>
      </c>
      <c r="E20" s="306">
        <f t="shared" si="2"/>
        <v>1189796.9900000002</v>
      </c>
      <c r="F20" s="306">
        <f t="shared" si="2"/>
        <v>1545953.6199999999</v>
      </c>
      <c r="G20" s="306">
        <f t="shared" si="2"/>
        <v>804652.89</v>
      </c>
      <c r="H20" s="306">
        <f t="shared" si="2"/>
        <v>726270.3600000001</v>
      </c>
      <c r="I20" s="306">
        <f t="shared" si="2"/>
        <v>1110706.71</v>
      </c>
      <c r="J20" s="306">
        <f t="shared" si="2"/>
        <v>866814.7</v>
      </c>
      <c r="K20" s="306">
        <f t="shared" si="2"/>
        <v>864120.49</v>
      </c>
      <c r="L20" s="306">
        <f t="shared" si="2"/>
        <v>1020342.7199999997</v>
      </c>
      <c r="M20" s="319">
        <f t="shared" si="2"/>
        <v>724212.47999999986</v>
      </c>
      <c r="N20" s="329">
        <f t="shared" si="2"/>
        <v>12022073.629999999</v>
      </c>
      <c r="O20" s="273">
        <f t="shared" si="2"/>
        <v>11135431.779000001</v>
      </c>
      <c r="P20" s="274">
        <f>N20/O20-1</f>
        <v>7.96234819265913E-2</v>
      </c>
    </row>
    <row r="21" spans="1:16">
      <c r="A21" s="276" t="s">
        <v>265</v>
      </c>
      <c r="B21" s="320">
        <f>B20/'RC 2009'!B22-1</f>
        <v>7.98669310370963E-2</v>
      </c>
      <c r="C21" s="320">
        <f>C20/'RC 2009'!C22-1</f>
        <v>-3.1348413099362094E-2</v>
      </c>
      <c r="D21" s="320">
        <f>D20/'RC 2009'!D22-1</f>
        <v>5.1901053318078594E-2</v>
      </c>
      <c r="E21" s="320">
        <f>E20/'RC 2009'!E22-1</f>
        <v>7.5989280956451744E-2</v>
      </c>
      <c r="F21" s="320">
        <f>F20/'RC 2009'!F22-1</f>
        <v>0.18436391701184274</v>
      </c>
      <c r="G21" s="320">
        <f>G20/'RC 2009'!G22-1</f>
        <v>0.13892797828348935</v>
      </c>
      <c r="H21" s="320">
        <f>H20/'RC 2009'!H22-1</f>
        <v>0.11294166301877251</v>
      </c>
      <c r="I21" s="320">
        <f>I20/'RC 2009'!I22-1</f>
        <v>0.13513300138226425</v>
      </c>
      <c r="J21" s="320">
        <f>J20/'RC 2009'!J22-1</f>
        <v>0.12136837159552272</v>
      </c>
      <c r="K21" s="320">
        <f>K20/'RC 2009'!K22-1</f>
        <v>7.5472763056627867E-2</v>
      </c>
      <c r="L21" s="320">
        <f>L20/'RC 2009'!L22-1</f>
        <v>-2.4678342290629596E-2</v>
      </c>
      <c r="M21" s="320">
        <f>M20/'RC 2009'!M22-1</f>
        <v>9.7312884331305582E-2</v>
      </c>
      <c r="N21" s="333"/>
      <c r="O21" s="323"/>
      <c r="P21" s="1"/>
    </row>
    <row r="24" spans="1:16">
      <c r="H24" s="243"/>
    </row>
    <row r="25" spans="1:16">
      <c r="A25" s="287"/>
      <c r="H25" s="243"/>
    </row>
    <row r="26" spans="1:16">
      <c r="A26" s="287"/>
      <c r="H26" s="243"/>
    </row>
    <row r="27" spans="1:16">
      <c r="H27" s="243"/>
    </row>
    <row r="28" spans="1:16">
      <c r="H28" s="243"/>
    </row>
  </sheetData>
  <mergeCells count="1">
    <mergeCell ref="A1:P1"/>
  </mergeCells>
  <printOptions horizontalCentered="1"/>
  <pageMargins left="0" right="0" top="1" bottom="1" header="0.5" footer="0.5"/>
  <pageSetup scale="9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 enableFormatConditionsCalculation="0">
    <tabColor rgb="FF7030A0"/>
    <pageSetUpPr fitToPage="1"/>
  </sheetPr>
  <dimension ref="A1:P28"/>
  <sheetViews>
    <sheetView workbookViewId="0">
      <selection activeCell="H50" sqref="H50"/>
    </sheetView>
  </sheetViews>
  <sheetFormatPr baseColWidth="10" defaultColWidth="8.83203125" defaultRowHeight="12" x14ac:dyDescent="0"/>
  <cols>
    <col min="1" max="1" width="10.83203125" bestFit="1" customWidth="1"/>
    <col min="14" max="14" width="12" bestFit="1" customWidth="1"/>
    <col min="15" max="15" width="9.5" bestFit="1" customWidth="1"/>
  </cols>
  <sheetData>
    <row r="1" spans="1:16" ht="23">
      <c r="A1" s="711" t="s">
        <v>296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</row>
    <row r="2" spans="1:16" ht="13" thickBot="1"/>
    <row r="3" spans="1:16" ht="13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310" t="s">
        <v>13</v>
      </c>
      <c r="N3" s="25" t="s">
        <v>100</v>
      </c>
      <c r="O3" s="251" t="s">
        <v>92</v>
      </c>
      <c r="P3" s="253" t="s">
        <v>16</v>
      </c>
    </row>
    <row r="4" spans="1:16">
      <c r="A4" s="267" t="s">
        <v>176</v>
      </c>
      <c r="B4" s="19">
        <v>14311.75</v>
      </c>
      <c r="C4" s="19">
        <v>26002</v>
      </c>
      <c r="D4" s="19">
        <v>15701.85</v>
      </c>
      <c r="E4" s="19">
        <v>20320.82</v>
      </c>
      <c r="F4" s="19">
        <v>24084.63</v>
      </c>
      <c r="G4" s="19">
        <v>29157.32</v>
      </c>
      <c r="H4" s="19">
        <v>34063.699999999997</v>
      </c>
      <c r="I4" s="19">
        <v>53148.99</v>
      </c>
      <c r="J4" s="19">
        <v>27615.84</v>
      </c>
      <c r="K4" s="19">
        <v>23608.880000000001</v>
      </c>
      <c r="L4" s="19">
        <v>49235.1</v>
      </c>
      <c r="M4" s="51">
        <v>27922.19</v>
      </c>
      <c r="N4" s="106">
        <f t="shared" ref="N4:N10" si="0">SUM(B4:M4)</f>
        <v>345173.06999999995</v>
      </c>
      <c r="O4" s="19">
        <f>SUM('RC 2008'!B4:M4)</f>
        <v>379083.31000000006</v>
      </c>
      <c r="P4" s="22">
        <f>N4/O4-1</f>
        <v>-8.9453265563182116E-2</v>
      </c>
    </row>
    <row r="5" spans="1:16">
      <c r="A5" s="267" t="s">
        <v>282</v>
      </c>
      <c r="B5" s="19">
        <v>1251.05</v>
      </c>
      <c r="C5" s="19">
        <v>1656.57</v>
      </c>
      <c r="D5" s="19">
        <v>629.12</v>
      </c>
      <c r="E5" s="19">
        <v>823.06</v>
      </c>
      <c r="F5" s="19">
        <v>2674.87</v>
      </c>
      <c r="G5" s="19">
        <v>2460.39</v>
      </c>
      <c r="H5" s="19">
        <v>3335.19</v>
      </c>
      <c r="I5" s="19">
        <v>4832.42</v>
      </c>
      <c r="J5" s="19">
        <v>2879.35</v>
      </c>
      <c r="K5" s="19">
        <v>3746.66</v>
      </c>
      <c r="L5" s="19">
        <v>12635.7</v>
      </c>
      <c r="M5" s="51">
        <v>5590.66</v>
      </c>
      <c r="N5" s="60">
        <f t="shared" si="0"/>
        <v>42515.039999999994</v>
      </c>
      <c r="O5" s="19">
        <f>SUM('RC 2008'!B5:M5)</f>
        <v>36195.56</v>
      </c>
      <c r="P5" s="22">
        <f t="shared" ref="P5:P21" si="1">N5/O5-1</f>
        <v>0.17459268484863877</v>
      </c>
    </row>
    <row r="6" spans="1:16">
      <c r="A6" s="267" t="s">
        <v>283</v>
      </c>
      <c r="B6" s="19">
        <v>9264.3700000000008</v>
      </c>
      <c r="C6" s="19">
        <v>6683.04</v>
      </c>
      <c r="D6" s="19">
        <v>4823.88</v>
      </c>
      <c r="E6" s="19">
        <v>3640.83</v>
      </c>
      <c r="F6" s="19">
        <v>15312.78</v>
      </c>
      <c r="G6" s="19">
        <v>22284.77</v>
      </c>
      <c r="H6" s="19">
        <v>35065.279999999999</v>
      </c>
      <c r="I6" s="19">
        <v>41506.6</v>
      </c>
      <c r="J6" s="19">
        <v>46811.62</v>
      </c>
      <c r="K6" s="19">
        <v>45761.55</v>
      </c>
      <c r="L6" s="19">
        <v>43352.37</v>
      </c>
      <c r="M6" s="51">
        <v>31427.74</v>
      </c>
      <c r="N6" s="60">
        <f t="shared" si="0"/>
        <v>305934.82999999996</v>
      </c>
      <c r="O6" s="19">
        <f>SUM('RC 2008'!B6:M6)</f>
        <v>281803.29599999997</v>
      </c>
      <c r="P6" s="22">
        <f t="shared" si="1"/>
        <v>8.5632547037348905E-2</v>
      </c>
    </row>
    <row r="7" spans="1:16">
      <c r="A7" s="267" t="s">
        <v>284</v>
      </c>
      <c r="B7" s="19">
        <v>6589.38</v>
      </c>
      <c r="C7" s="19">
        <v>17441.669999999998</v>
      </c>
      <c r="D7" s="19">
        <v>5537.02</v>
      </c>
      <c r="E7" s="19">
        <v>7625.94</v>
      </c>
      <c r="F7" s="19">
        <v>14497.61</v>
      </c>
      <c r="G7" s="19">
        <v>5938.57</v>
      </c>
      <c r="H7" s="19">
        <v>10586.32</v>
      </c>
      <c r="I7" s="19">
        <v>25293.69</v>
      </c>
      <c r="J7" s="19">
        <v>11852.01</v>
      </c>
      <c r="K7" s="19">
        <v>11163.46</v>
      </c>
      <c r="L7" s="19">
        <v>26066.1</v>
      </c>
      <c r="M7" s="51">
        <v>8723.43</v>
      </c>
      <c r="N7" s="60">
        <f t="shared" si="0"/>
        <v>151315.20000000001</v>
      </c>
      <c r="O7" s="19">
        <f>SUM('RC 2008'!B7:M7)</f>
        <v>201936.56999999998</v>
      </c>
      <c r="P7" s="22">
        <f t="shared" si="1"/>
        <v>-0.25067955744717252</v>
      </c>
    </row>
    <row r="8" spans="1:16">
      <c r="A8" s="267" t="s">
        <v>285</v>
      </c>
      <c r="B8" s="19">
        <v>2208.7399999999998</v>
      </c>
      <c r="C8" s="19">
        <v>4490.17</v>
      </c>
      <c r="D8" s="19">
        <v>0</v>
      </c>
      <c r="E8" s="19">
        <v>0</v>
      </c>
      <c r="F8" s="19">
        <v>5240.2700000000004</v>
      </c>
      <c r="G8" s="19">
        <v>1646.63</v>
      </c>
      <c r="H8" s="19">
        <v>5282.31</v>
      </c>
      <c r="I8" s="19">
        <v>8662.18</v>
      </c>
      <c r="J8" s="19">
        <v>3646.42</v>
      </c>
      <c r="K8" s="19">
        <v>4912.95</v>
      </c>
      <c r="L8" s="19">
        <v>8391.83</v>
      </c>
      <c r="M8" s="51">
        <v>3439.04</v>
      </c>
      <c r="N8" s="60">
        <f t="shared" si="0"/>
        <v>47920.54</v>
      </c>
      <c r="O8" s="19">
        <f>SUM('RC 2008'!B8:M8)</f>
        <v>75533.279999999999</v>
      </c>
      <c r="P8" s="22">
        <f t="shared" si="1"/>
        <v>-0.36557051408332852</v>
      </c>
    </row>
    <row r="9" spans="1:16">
      <c r="A9" s="267" t="s">
        <v>180</v>
      </c>
      <c r="B9" s="19">
        <v>119027.65</v>
      </c>
      <c r="C9" s="19">
        <v>179298.56</v>
      </c>
      <c r="D9" s="19">
        <v>95655.99</v>
      </c>
      <c r="E9" s="19">
        <v>118390.84</v>
      </c>
      <c r="F9" s="19">
        <v>192213.72</v>
      </c>
      <c r="G9" s="19">
        <v>225228.4</v>
      </c>
      <c r="H9" s="19">
        <v>201757.51</v>
      </c>
      <c r="I9" s="19">
        <v>280974.38</v>
      </c>
      <c r="J9" s="19">
        <v>177489.55</v>
      </c>
      <c r="K9" s="19">
        <v>241439.97</v>
      </c>
      <c r="L9" s="19">
        <v>290932.65999999997</v>
      </c>
      <c r="M9" s="99">
        <v>196563.04</v>
      </c>
      <c r="N9" s="60">
        <f t="shared" si="0"/>
        <v>2318972.27</v>
      </c>
      <c r="O9" s="19">
        <f>SUM('RC 2008'!B9:M9)</f>
        <v>2384002.7799999998</v>
      </c>
      <c r="P9" s="22">
        <f t="shared" si="1"/>
        <v>-2.7277866681011065E-2</v>
      </c>
    </row>
    <row r="10" spans="1:16">
      <c r="A10" s="267" t="s">
        <v>262</v>
      </c>
      <c r="B10" s="19"/>
      <c r="D10" s="19"/>
      <c r="E10" s="19"/>
      <c r="F10" s="19"/>
      <c r="G10" s="19"/>
      <c r="H10" s="19"/>
      <c r="I10" s="19"/>
      <c r="J10" s="19"/>
      <c r="K10" s="19"/>
      <c r="L10" s="19"/>
      <c r="N10" s="60">
        <f t="shared" si="0"/>
        <v>0</v>
      </c>
      <c r="O10" s="19">
        <f>SUM('RC 2008'!B10:M10)</f>
        <v>0</v>
      </c>
      <c r="P10" s="22">
        <v>0</v>
      </c>
    </row>
    <row r="11" spans="1:16">
      <c r="A11" s="267" t="s">
        <v>183</v>
      </c>
      <c r="B11" s="19">
        <v>4027.79</v>
      </c>
      <c r="C11" s="19">
        <v>47476.84</v>
      </c>
      <c r="D11" s="19">
        <v>39241.71</v>
      </c>
      <c r="E11" s="19">
        <v>30091.22</v>
      </c>
      <c r="F11" s="19">
        <v>32233.84</v>
      </c>
      <c r="G11" s="19">
        <v>10476.01</v>
      </c>
      <c r="H11" s="19">
        <v>2731.1</v>
      </c>
      <c r="I11" s="19">
        <v>7051.5</v>
      </c>
      <c r="J11" s="19">
        <v>8028.45</v>
      </c>
      <c r="K11" s="19">
        <v>8072.15</v>
      </c>
      <c r="L11" s="19">
        <v>13095.89</v>
      </c>
      <c r="M11" s="99">
        <v>8652.64</v>
      </c>
      <c r="N11" s="60">
        <f t="shared" ref="N11:N21" si="2">SUM(B11:M11)</f>
        <v>211179.14</v>
      </c>
      <c r="O11" s="19">
        <f>SUM('RC 2008'!B11:M11)</f>
        <v>245675.42</v>
      </c>
      <c r="P11" s="22">
        <f t="shared" si="1"/>
        <v>-0.1404140471195694</v>
      </c>
    </row>
    <row r="12" spans="1:16">
      <c r="A12" s="267" t="s">
        <v>188</v>
      </c>
      <c r="B12" s="19">
        <v>29045.97</v>
      </c>
      <c r="C12" s="19">
        <v>51744.94</v>
      </c>
      <c r="D12" s="19">
        <v>20805.46</v>
      </c>
      <c r="E12" s="19">
        <v>25861.48</v>
      </c>
      <c r="F12" s="19">
        <v>47567.839999999997</v>
      </c>
      <c r="G12" s="19">
        <v>29160.16</v>
      </c>
      <c r="H12" s="19">
        <v>43100</v>
      </c>
      <c r="I12" s="19">
        <v>70477.66</v>
      </c>
      <c r="J12" s="19">
        <v>44972.68</v>
      </c>
      <c r="K12" s="19">
        <v>41138.31</v>
      </c>
      <c r="L12" s="19">
        <v>71396.63</v>
      </c>
      <c r="M12" s="99">
        <v>35580.239999999998</v>
      </c>
      <c r="N12" s="60">
        <f t="shared" si="2"/>
        <v>510851.37</v>
      </c>
      <c r="O12" s="19">
        <f>SUM('RC 2008'!B12:M12)</f>
        <v>585611.61</v>
      </c>
      <c r="P12" s="22">
        <f t="shared" si="1"/>
        <v>-0.12766181326220627</v>
      </c>
    </row>
    <row r="13" spans="1:16">
      <c r="A13" s="267" t="s">
        <v>286</v>
      </c>
      <c r="B13" s="19">
        <v>2501.9699999999998</v>
      </c>
      <c r="C13" s="19">
        <v>3604.49</v>
      </c>
      <c r="D13" s="19">
        <v>1937.45</v>
      </c>
      <c r="E13" s="19">
        <v>1821.41</v>
      </c>
      <c r="F13" s="19">
        <v>4277.8999999999996</v>
      </c>
      <c r="G13" s="19">
        <v>4334</v>
      </c>
      <c r="H13" s="19">
        <v>6522.02</v>
      </c>
      <c r="I13" s="19">
        <v>9444.2900000000009</v>
      </c>
      <c r="J13" s="19">
        <v>6811.92</v>
      </c>
      <c r="K13" s="19">
        <v>7263.21</v>
      </c>
      <c r="L13" s="19">
        <v>9386.65</v>
      </c>
      <c r="M13" s="99">
        <v>5985.16</v>
      </c>
      <c r="N13" s="60">
        <f t="shared" si="2"/>
        <v>63890.47</v>
      </c>
      <c r="O13" s="19">
        <f>SUM('RC 2008'!B13:M13)</f>
        <v>76539.100000000006</v>
      </c>
      <c r="P13" s="22">
        <f t="shared" si="1"/>
        <v>-0.16525710388546511</v>
      </c>
    </row>
    <row r="14" spans="1:16">
      <c r="A14" s="267" t="s">
        <v>287</v>
      </c>
      <c r="B14" s="19">
        <v>879.31</v>
      </c>
      <c r="C14" s="19">
        <v>7954.08</v>
      </c>
      <c r="D14" s="19">
        <v>2952.22</v>
      </c>
      <c r="E14" s="19">
        <v>3611.99</v>
      </c>
      <c r="F14" s="19">
        <v>6569.52</v>
      </c>
      <c r="G14" s="19">
        <v>7727.48</v>
      </c>
      <c r="H14" s="19">
        <v>6683.68</v>
      </c>
      <c r="I14" s="19">
        <v>17795.78</v>
      </c>
      <c r="J14" s="19">
        <v>13237.92</v>
      </c>
      <c r="K14" s="19">
        <v>17646.77</v>
      </c>
      <c r="L14" s="19">
        <v>36881.089999999997</v>
      </c>
      <c r="M14" s="99">
        <v>4216.99</v>
      </c>
      <c r="N14" s="60">
        <f t="shared" si="2"/>
        <v>126156.83</v>
      </c>
      <c r="O14" s="19">
        <f>SUM('RC 2008'!B14:M14)</f>
        <v>137150.34000000003</v>
      </c>
      <c r="P14" s="22">
        <f t="shared" si="1"/>
        <v>-8.0156636870167608E-2</v>
      </c>
    </row>
    <row r="15" spans="1:16">
      <c r="A15" s="267" t="s">
        <v>288</v>
      </c>
      <c r="B15" s="19">
        <v>33456.44</v>
      </c>
      <c r="C15" s="19">
        <v>89490.81</v>
      </c>
      <c r="D15" s="19">
        <v>131216.10999999999</v>
      </c>
      <c r="E15" s="19">
        <v>119482.69</v>
      </c>
      <c r="F15" s="19">
        <v>105489.07</v>
      </c>
      <c r="G15" s="19">
        <v>53112.2</v>
      </c>
      <c r="H15" s="19">
        <v>5436.97</v>
      </c>
      <c r="I15" s="19">
        <v>4476.79</v>
      </c>
      <c r="J15" s="19">
        <v>3753.4</v>
      </c>
      <c r="K15" s="19">
        <v>5572.88</v>
      </c>
      <c r="L15" s="19">
        <v>3578.19</v>
      </c>
      <c r="M15" s="99">
        <v>5139.8500000000004</v>
      </c>
      <c r="N15" s="60">
        <f t="shared" si="2"/>
        <v>560205.39999999991</v>
      </c>
      <c r="O15" s="19">
        <f>SUM('RC 2008'!B15:M15)</f>
        <v>784220.28</v>
      </c>
      <c r="P15" s="22">
        <f t="shared" si="1"/>
        <v>-0.28565300555604112</v>
      </c>
    </row>
    <row r="16" spans="1:16">
      <c r="A16" s="267" t="s">
        <v>209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714" t="s">
        <v>297</v>
      </c>
      <c r="N16" s="715"/>
      <c r="O16" s="19">
        <f>SUM('RC 2008'!B16:M16)</f>
        <v>70376.95</v>
      </c>
      <c r="P16" s="334"/>
    </row>
    <row r="17" spans="1:16">
      <c r="A17" s="267" t="s">
        <v>289</v>
      </c>
      <c r="B17" s="19">
        <v>285840.86</v>
      </c>
      <c r="C17" s="19">
        <v>819349.83</v>
      </c>
      <c r="D17" s="19">
        <v>844221.9</v>
      </c>
      <c r="E17" s="19">
        <v>727398.06</v>
      </c>
      <c r="F17" s="19">
        <v>783924.24</v>
      </c>
      <c r="G17" s="19">
        <v>256650.81</v>
      </c>
      <c r="H17" s="19">
        <v>209834.66</v>
      </c>
      <c r="I17" s="19">
        <v>318243.43</v>
      </c>
      <c r="J17" s="19">
        <v>326300.08</v>
      </c>
      <c r="K17" s="19">
        <v>295745.88</v>
      </c>
      <c r="L17" s="19">
        <v>330267.59000000003</v>
      </c>
      <c r="M17" s="51">
        <v>245750.67</v>
      </c>
      <c r="N17" s="60">
        <f t="shared" si="2"/>
        <v>5443528.0099999998</v>
      </c>
      <c r="O17" s="19">
        <f>SUM('RC 2008'!B17:M17)</f>
        <v>6721980.1999999983</v>
      </c>
      <c r="P17" s="22">
        <f t="shared" si="1"/>
        <v>-0.19018981787539313</v>
      </c>
    </row>
    <row r="18" spans="1:16">
      <c r="A18" s="267" t="s">
        <v>298</v>
      </c>
      <c r="B18" s="19">
        <v>2529.12</v>
      </c>
      <c r="C18" s="19">
        <v>3558.22</v>
      </c>
      <c r="D18" s="19">
        <v>4580.07</v>
      </c>
      <c r="E18" s="19">
        <v>4924.32</v>
      </c>
      <c r="F18" s="19">
        <v>2526.4499999999998</v>
      </c>
      <c r="G18" s="19">
        <v>1337.96</v>
      </c>
      <c r="H18" s="19">
        <v>1225.07</v>
      </c>
      <c r="I18" s="19">
        <v>1450.37</v>
      </c>
      <c r="J18" s="19">
        <v>3786.489</v>
      </c>
      <c r="K18" s="19">
        <v>1977.37</v>
      </c>
      <c r="L18" s="19">
        <v>1502.77</v>
      </c>
      <c r="M18" s="51">
        <v>2053.5500000000002</v>
      </c>
      <c r="N18" s="60">
        <f t="shared" si="2"/>
        <v>31451.758999999998</v>
      </c>
      <c r="O18" s="19"/>
      <c r="P18" s="22"/>
    </row>
    <row r="19" spans="1:16">
      <c r="A19" s="267" t="s">
        <v>230</v>
      </c>
      <c r="B19" s="19">
        <v>19035.12</v>
      </c>
      <c r="C19" s="19">
        <v>42140.46</v>
      </c>
      <c r="D19" s="19">
        <v>24730.43</v>
      </c>
      <c r="E19" s="19">
        <v>26206.29</v>
      </c>
      <c r="F19" s="19">
        <v>26004.42</v>
      </c>
      <c r="G19" s="19">
        <v>13098.61</v>
      </c>
      <c r="H19" s="19">
        <v>16547.72</v>
      </c>
      <c r="I19" s="19">
        <v>27867.82</v>
      </c>
      <c r="J19" s="19">
        <v>28924.560000000001</v>
      </c>
      <c r="K19" s="19">
        <v>34327.129999999997</v>
      </c>
      <c r="L19" s="19">
        <v>36669.01</v>
      </c>
      <c r="M19" s="51">
        <v>27512.15</v>
      </c>
      <c r="N19" s="60">
        <f t="shared" si="2"/>
        <v>323063.72000000003</v>
      </c>
      <c r="O19" s="19">
        <f>SUM('RC 2008'!B18:M18)</f>
        <v>432151.17</v>
      </c>
      <c r="P19" s="22">
        <f t="shared" si="1"/>
        <v>-0.25242891278068269</v>
      </c>
    </row>
    <row r="20" spans="1:16">
      <c r="A20" s="267" t="s">
        <v>291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51"/>
      <c r="N20" s="60">
        <f t="shared" si="2"/>
        <v>0</v>
      </c>
      <c r="O20" s="19">
        <f>SUM('RC 2008'!B19:M19)</f>
        <v>17591.440000000002</v>
      </c>
      <c r="P20" s="22">
        <f t="shared" si="1"/>
        <v>-1</v>
      </c>
    </row>
    <row r="21" spans="1:16" ht="13" thickBot="1">
      <c r="A21" s="296" t="s">
        <v>238</v>
      </c>
      <c r="B21" s="96">
        <v>28862.52</v>
      </c>
      <c r="C21" s="96">
        <v>41101.29</v>
      </c>
      <c r="D21" s="96">
        <v>11325.99</v>
      </c>
      <c r="E21" s="96">
        <v>15571.35</v>
      </c>
      <c r="F21" s="96">
        <v>42685.71</v>
      </c>
      <c r="G21" s="96">
        <v>43886.93</v>
      </c>
      <c r="H21" s="96">
        <v>70396.69</v>
      </c>
      <c r="I21" s="96">
        <v>107255.66</v>
      </c>
      <c r="J21" s="96">
        <v>66886.990000000005</v>
      </c>
      <c r="K21" s="96">
        <v>61102.49</v>
      </c>
      <c r="L21" s="96">
        <v>112768.64</v>
      </c>
      <c r="M21" s="328">
        <v>51429.87</v>
      </c>
      <c r="N21" s="62">
        <f t="shared" si="2"/>
        <v>653274.13</v>
      </c>
      <c r="O21" s="19">
        <f>SUM('RC 2008'!B20:M20)</f>
        <v>655104.223</v>
      </c>
      <c r="P21" s="297">
        <f t="shared" si="1"/>
        <v>-2.7935906009264322E-3</v>
      </c>
    </row>
    <row r="22" spans="1:16" ht="13" thickBot="1">
      <c r="A22" s="275" t="s">
        <v>54</v>
      </c>
      <c r="B22" s="306">
        <f t="shared" ref="B22:O22" si="3">SUM(B4:B21)</f>
        <v>558832.04</v>
      </c>
      <c r="C22" s="306">
        <f t="shared" si="3"/>
        <v>1341992.97</v>
      </c>
      <c r="D22" s="306">
        <f t="shared" si="3"/>
        <v>1203359.2</v>
      </c>
      <c r="E22" s="306">
        <f t="shared" si="3"/>
        <v>1105770.3000000003</v>
      </c>
      <c r="F22" s="306">
        <f t="shared" si="3"/>
        <v>1305302.8699999999</v>
      </c>
      <c r="G22" s="306">
        <f t="shared" si="3"/>
        <v>706500.24</v>
      </c>
      <c r="H22" s="306">
        <f t="shared" si="3"/>
        <v>652568.22</v>
      </c>
      <c r="I22" s="306">
        <f t="shared" si="3"/>
        <v>978481.55999999994</v>
      </c>
      <c r="J22" s="306">
        <f t="shared" si="3"/>
        <v>772997.27899999998</v>
      </c>
      <c r="K22" s="306">
        <f t="shared" si="3"/>
        <v>803479.66</v>
      </c>
      <c r="L22" s="306">
        <f t="shared" si="3"/>
        <v>1046160.2200000001</v>
      </c>
      <c r="M22" s="319">
        <f t="shared" si="3"/>
        <v>659987.22</v>
      </c>
      <c r="N22" s="329">
        <f t="shared" si="3"/>
        <v>11135431.779000001</v>
      </c>
      <c r="O22" s="273">
        <f t="shared" si="3"/>
        <v>13084955.528999997</v>
      </c>
      <c r="P22" s="274">
        <f>N22/O22-1</f>
        <v>-0.14898971155685592</v>
      </c>
    </row>
    <row r="23" spans="1:16">
      <c r="A23" s="276" t="s">
        <v>265</v>
      </c>
      <c r="B23" s="320">
        <f>B22/'RC 2008'!B21-1</f>
        <v>-0.11192714062830234</v>
      </c>
      <c r="C23" s="320">
        <f>C22/'RC 2008'!C21-1</f>
        <v>-7.8028006692092422E-2</v>
      </c>
      <c r="D23" s="320">
        <f>D22/'RC 2008'!D21-1</f>
        <v>-0.14842874362592262</v>
      </c>
      <c r="E23" s="320">
        <f>E22/'RC 2008'!E21-1</f>
        <v>-0.24472388271201717</v>
      </c>
      <c r="F23" s="320">
        <f>F22/'RC 2008'!F21-1</f>
        <v>-0.31274803315427202</v>
      </c>
      <c r="G23" s="320">
        <f>G22/'RC 2008'!G21-1</f>
        <v>-1.3657682672985394E-2</v>
      </c>
      <c r="H23" s="320">
        <f>H22/'RC 2008'!H21-1</f>
        <v>-0.22059276054741273</v>
      </c>
      <c r="I23" s="320">
        <f>I22/'RC 2008'!I21-1</f>
        <v>-0.11647625852021659</v>
      </c>
      <c r="J23" s="320">
        <f>J22/'RC 2008'!J21-1</f>
        <v>-8.29537248634864E-2</v>
      </c>
      <c r="K23" s="320">
        <f>K22/'RC 2008'!K21-1</f>
        <v>-5.405194538877145E-2</v>
      </c>
      <c r="L23" s="320">
        <f>L22/'RC 2008'!L21-1</f>
        <v>-0.11748344758794538</v>
      </c>
      <c r="M23" s="320">
        <f>M22/'RC 2008'!M21-1</f>
        <v>-3.6359108491099357E-2</v>
      </c>
      <c r="N23" s="333"/>
      <c r="O23" s="323"/>
      <c r="P23" s="1"/>
    </row>
    <row r="25" spans="1:16">
      <c r="O25" s="100"/>
    </row>
    <row r="27" spans="1:16">
      <c r="A27" s="287"/>
    </row>
    <row r="28" spans="1:16">
      <c r="A28" s="287" t="s">
        <v>299</v>
      </c>
    </row>
  </sheetData>
  <mergeCells count="2">
    <mergeCell ref="A1:P1"/>
    <mergeCell ref="M16:N16"/>
  </mergeCells>
  <printOptions horizontalCentered="1"/>
  <pageMargins left="0" right="0" top="1" bottom="1" header="0.5" footer="0.5"/>
  <pageSetup scale="9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theme="1"/>
    <pageSetUpPr fitToPage="1"/>
  </sheetPr>
  <dimension ref="A1:Q38"/>
  <sheetViews>
    <sheetView workbookViewId="0">
      <selection activeCell="P43" sqref="P43"/>
    </sheetView>
  </sheetViews>
  <sheetFormatPr baseColWidth="10" defaultColWidth="8.83203125" defaultRowHeight="12" x14ac:dyDescent="0"/>
  <cols>
    <col min="2" max="3" width="8.6640625" bestFit="1" customWidth="1"/>
    <col min="9" max="9" width="11.1640625" bestFit="1" customWidth="1"/>
    <col min="14" max="14" width="9.33203125" customWidth="1"/>
    <col min="15" max="15" width="9.5" bestFit="1" customWidth="1"/>
  </cols>
  <sheetData>
    <row r="1" spans="1:17" ht="21">
      <c r="A1" s="691" t="s">
        <v>103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</row>
    <row r="2" spans="1:17" ht="13" thickBot="1">
      <c r="A2" s="47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3" thickBot="1">
      <c r="A3" s="155" t="s">
        <v>42</v>
      </c>
      <c r="B3" s="156" t="s">
        <v>2</v>
      </c>
      <c r="C3" s="157" t="s">
        <v>3</v>
      </c>
      <c r="D3" s="156" t="s">
        <v>4</v>
      </c>
      <c r="E3" s="156" t="s">
        <v>5</v>
      </c>
      <c r="F3" s="156" t="s">
        <v>6</v>
      </c>
      <c r="G3" s="156" t="s">
        <v>7</v>
      </c>
      <c r="H3" s="156" t="s">
        <v>8</v>
      </c>
      <c r="I3" s="156" t="s">
        <v>9</v>
      </c>
      <c r="J3" s="156" t="s">
        <v>10</v>
      </c>
      <c r="K3" s="156" t="s">
        <v>11</v>
      </c>
      <c r="L3" s="156" t="s">
        <v>12</v>
      </c>
      <c r="M3" s="158" t="s">
        <v>13</v>
      </c>
      <c r="N3" s="159" t="s">
        <v>100</v>
      </c>
      <c r="O3" s="156" t="s">
        <v>92</v>
      </c>
      <c r="P3" s="160" t="s">
        <v>16</v>
      </c>
      <c r="Q3" s="161" t="s">
        <v>58</v>
      </c>
    </row>
    <row r="4" spans="1:17">
      <c r="A4" s="92" t="s">
        <v>17</v>
      </c>
      <c r="B4" s="36">
        <f>SUM('R 2009'!B4+'TRT 2009'!B4)</f>
        <v>8498.2999999999993</v>
      </c>
      <c r="C4" s="36">
        <f>SUM('R 2009'!C4+'TRT 2009'!C4)</f>
        <v>28585.5</v>
      </c>
      <c r="D4" s="36">
        <f>SUM('R 2009'!D4+'TRT 2009'!D4)</f>
        <v>18660.84</v>
      </c>
      <c r="E4" s="36">
        <f>SUM('R 2009'!E4+'TRT 2009'!E4)</f>
        <v>5435.33</v>
      </c>
      <c r="F4" s="36">
        <f>SUM('R 2009'!F4+'TRT 2009'!F4)</f>
        <v>25822.43</v>
      </c>
      <c r="G4" s="36">
        <f>SUM('R 2009'!G4+'TRT 2009'!G4)</f>
        <v>22581.13</v>
      </c>
      <c r="H4" s="36">
        <f>SUM('R 2009'!H4+'TRT 2009'!H4)</f>
        <v>13354.67</v>
      </c>
      <c r="I4" s="36">
        <f>SUM('R 2009'!I4+'TRT 2009'!I4)</f>
        <v>44536.79</v>
      </c>
      <c r="J4" s="36">
        <f>SUM('R 2009'!J4+'TRT 2009'!J4)</f>
        <v>25084.46</v>
      </c>
      <c r="K4" s="36">
        <f>SUM('R 2009'!K4+'TRT 2009'!K4)</f>
        <v>20796.239999999998</v>
      </c>
      <c r="L4" s="36">
        <f>SUM('R 2009'!L4+'TRT 2009'!L4)</f>
        <v>44308.21</v>
      </c>
      <c r="M4" s="36">
        <f>SUM('R 2009'!M4+'TRT 2009'!M4)</f>
        <v>13663.81</v>
      </c>
      <c r="N4" s="81">
        <f t="shared" ref="N4:N32" si="0">SUM(B4:M4)</f>
        <v>271327.70999999996</v>
      </c>
      <c r="O4" s="19">
        <f>SUM('TOTAL 2008'!B4:M4)</f>
        <v>251647.53</v>
      </c>
      <c r="P4" s="84">
        <f t="shared" ref="P4:P33" si="1">N4/O4-1</f>
        <v>7.8205337441619172E-2</v>
      </c>
      <c r="Q4" s="22">
        <f t="shared" ref="Q4:Q33" si="2">N4/$N$33</f>
        <v>3.7378018634856118E-3</v>
      </c>
    </row>
    <row r="5" spans="1:17">
      <c r="A5" s="92" t="s">
        <v>18</v>
      </c>
      <c r="B5" s="19">
        <f>SUM('R 2009'!B5+'TRT 2009'!B5)</f>
        <v>31289.41</v>
      </c>
      <c r="C5" s="19">
        <f>SUM('R 2009'!C5+'TRT 2009'!C5)</f>
        <v>52845.78</v>
      </c>
      <c r="D5" s="19">
        <f>SUM('R 2009'!D5+'TRT 2009'!D5)</f>
        <v>41485.15</v>
      </c>
      <c r="E5" s="19">
        <f>SUM('R 2009'!E5+'TRT 2009'!E5)</f>
        <v>31006.95</v>
      </c>
      <c r="F5" s="19">
        <f>SUM('R 2009'!F5+'TRT 2009'!F5)</f>
        <v>50324.399999999994</v>
      </c>
      <c r="G5" s="19">
        <f>SUM('R 2009'!G5+'TRT 2009'!G5)</f>
        <v>51781.39</v>
      </c>
      <c r="H5" s="19">
        <f>SUM('R 2009'!H5+'TRT 2009'!H5)</f>
        <v>40546.300000000003</v>
      </c>
      <c r="I5" s="19">
        <f>SUM('R 2009'!I5+'TRT 2009'!I5)</f>
        <v>81128.08</v>
      </c>
      <c r="J5" s="19">
        <f>SUM('R 2009'!J5+'TRT 2009'!J5)</f>
        <v>45116.34</v>
      </c>
      <c r="K5" s="19">
        <f>SUM('R 2009'!K5+'TRT 2009'!K5)</f>
        <v>46887.22</v>
      </c>
      <c r="L5" s="19">
        <f>SUM('R 2009'!L5+'TRT 2009'!L5)</f>
        <v>78176.28</v>
      </c>
      <c r="M5" s="19">
        <f>SUM('R 2009'!M5+'TRT 2009'!M5)</f>
        <v>39177.850000000006</v>
      </c>
      <c r="N5" s="81">
        <f t="shared" si="0"/>
        <v>589765.15</v>
      </c>
      <c r="O5" s="19">
        <f>SUM('TOTAL 2008'!B5:M5)</f>
        <v>606008.29</v>
      </c>
      <c r="P5" s="84">
        <f t="shared" si="1"/>
        <v>-2.6803494717869358E-2</v>
      </c>
      <c r="Q5" s="22">
        <f t="shared" si="2"/>
        <v>8.1245858621991525E-3</v>
      </c>
    </row>
    <row r="6" spans="1:17">
      <c r="A6" s="92" t="s">
        <v>19</v>
      </c>
      <c r="B6" s="19">
        <f>SUM('R 2009'!B6+'TRT 2009'!B6)</f>
        <v>75117.91</v>
      </c>
      <c r="C6" s="19">
        <f>SUM('R 2009'!C6+'TRT 2009'!C6)</f>
        <v>122478.3</v>
      </c>
      <c r="D6" s="19">
        <f>SUM('R 2009'!D6+'TRT 2009'!D6)</f>
        <v>80838.510000000009</v>
      </c>
      <c r="E6" s="19">
        <f>SUM('R 2009'!E6+'TRT 2009'!E6)</f>
        <v>80728.790000000008</v>
      </c>
      <c r="F6" s="19">
        <f>SUM('R 2009'!F6+'TRT 2009'!F6)</f>
        <v>128340.29000000001</v>
      </c>
      <c r="G6" s="19">
        <f>SUM('R 2009'!G6+'TRT 2009'!G6)</f>
        <v>73846.87</v>
      </c>
      <c r="H6" s="19">
        <f>SUM('R 2009'!H6+'TRT 2009'!H6)</f>
        <v>92068.13</v>
      </c>
      <c r="I6" s="19">
        <f>SUM('R 2009'!I6+'TRT 2009'!I6)</f>
        <v>131478.83000000002</v>
      </c>
      <c r="J6" s="19">
        <f>SUM('R 2009'!J6+'TRT 2009'!J6)</f>
        <v>112997.77</v>
      </c>
      <c r="K6" s="19">
        <f>SUM('R 2009'!K6+'TRT 2009'!K6)</f>
        <v>129351.09</v>
      </c>
      <c r="L6" s="19">
        <f>SUM('R 2009'!L6+'TRT 2009'!L6)</f>
        <v>123820.82</v>
      </c>
      <c r="M6" s="19">
        <f>SUM('R 2009'!M6+'TRT 2009'!M6)</f>
        <v>100919.11</v>
      </c>
      <c r="N6" s="81">
        <f t="shared" si="0"/>
        <v>1251986.4200000002</v>
      </c>
      <c r="O6" s="19">
        <f>SUM('TOTAL 2008'!B6:M6)</f>
        <v>1295566.7999999996</v>
      </c>
      <c r="P6" s="84">
        <f t="shared" si="1"/>
        <v>-3.3638080259543068E-2</v>
      </c>
      <c r="Q6" s="22">
        <f t="shared" si="2"/>
        <v>1.7247324918397318E-2</v>
      </c>
    </row>
    <row r="7" spans="1:17">
      <c r="A7" s="92" t="s">
        <v>20</v>
      </c>
      <c r="B7" s="19">
        <f>SUM('R 2009'!B7+'TRT 2009'!B7)</f>
        <v>13964.66</v>
      </c>
      <c r="C7" s="19">
        <f>SUM('R 2009'!C7+'TRT 2009'!C7)</f>
        <v>42343.89</v>
      </c>
      <c r="D7" s="19">
        <f>SUM('R 2009'!D7+'TRT 2009'!D7)</f>
        <v>27369.62</v>
      </c>
      <c r="E7" s="19">
        <f>SUM('R 2009'!E7+'TRT 2009'!E7)</f>
        <v>20712.189999999999</v>
      </c>
      <c r="F7" s="19">
        <f>SUM('R 2009'!F7+'TRT 2009'!F7)</f>
        <v>42383.45</v>
      </c>
      <c r="G7" s="19">
        <f>SUM('R 2009'!G7+'TRT 2009'!G7)</f>
        <v>27635.1</v>
      </c>
      <c r="H7" s="19">
        <f>SUM('R 2009'!H7+'TRT 2009'!H7)</f>
        <v>30494.489999999998</v>
      </c>
      <c r="I7" s="19">
        <f>SUM('R 2009'!I7+'TRT 2009'!I7)</f>
        <v>46741.120000000003</v>
      </c>
      <c r="J7" s="19">
        <f>SUM('R 2009'!J7+'TRT 2009'!J7)</f>
        <v>47519.08</v>
      </c>
      <c r="K7" s="19">
        <f>SUM('R 2009'!K7+'TRT 2009'!K7)</f>
        <v>24480.28</v>
      </c>
      <c r="L7" s="19">
        <f>SUM('R 2009'!L7+'TRT 2009'!L7)</f>
        <v>43988.38</v>
      </c>
      <c r="M7" s="19">
        <f>SUM('R 2009'!M7+'TRT 2009'!M7)</f>
        <v>28122.33</v>
      </c>
      <c r="N7" s="81">
        <f t="shared" si="0"/>
        <v>395754.59</v>
      </c>
      <c r="O7" s="19">
        <f>SUM('TOTAL 2008'!B7:M7)</f>
        <v>463606.89999999997</v>
      </c>
      <c r="P7" s="84">
        <f t="shared" si="1"/>
        <v>-0.1463574204784267</v>
      </c>
      <c r="Q7" s="22">
        <f t="shared" si="2"/>
        <v>5.4519025866727163E-3</v>
      </c>
    </row>
    <row r="8" spans="1:17">
      <c r="A8" s="92" t="s">
        <v>21</v>
      </c>
      <c r="B8" s="19">
        <f>SUM('R 2009'!B8+'TRT 2009'!B8)</f>
        <v>2478.6800000000003</v>
      </c>
      <c r="C8" s="19">
        <f>SUM('R 2009'!C8+'TRT 2009'!C8)</f>
        <v>3013.58</v>
      </c>
      <c r="D8" s="19">
        <f>SUM('R 2009'!D8+'TRT 2009'!D8)</f>
        <v>2011.6999999999998</v>
      </c>
      <c r="E8" s="19">
        <f>SUM('R 2009'!E8+'TRT 2009'!E8)</f>
        <v>1516.59</v>
      </c>
      <c r="F8" s="19">
        <f>SUM('R 2009'!F8+'TRT 2009'!F8)</f>
        <v>2939.18</v>
      </c>
      <c r="G8" s="19">
        <f>SUM('R 2009'!G8+'TRT 2009'!G8)</f>
        <v>6310.74</v>
      </c>
      <c r="H8" s="19">
        <f>SUM('R 2009'!H8+'TRT 2009'!H8)</f>
        <v>5753.1299999999992</v>
      </c>
      <c r="I8" s="19">
        <f>SUM('R 2009'!I8+'TRT 2009'!I8)</f>
        <v>19668.07</v>
      </c>
      <c r="J8" s="19">
        <f>SUM('R 2009'!J8+'TRT 2009'!J8)</f>
        <v>8724.1500000000015</v>
      </c>
      <c r="K8" s="19">
        <f>SUM('R 2009'!K8+'TRT 2009'!K8)</f>
        <v>10983.11</v>
      </c>
      <c r="L8" s="19">
        <f>SUM('R 2009'!L8+'TRT 2009'!L8)</f>
        <v>24149.41</v>
      </c>
      <c r="M8" s="19">
        <f>SUM('R 2009'!M8+'TRT 2009'!M8)</f>
        <v>2776.85</v>
      </c>
      <c r="N8" s="81">
        <f t="shared" si="0"/>
        <v>90325.19</v>
      </c>
      <c r="O8" s="19">
        <f>SUM('TOTAL 2008'!B8:M8)</f>
        <v>87152.590000000011</v>
      </c>
      <c r="P8" s="84">
        <f t="shared" si="1"/>
        <v>3.6402819468704051E-2</v>
      </c>
      <c r="Q8" s="22">
        <f t="shared" si="2"/>
        <v>1.2443169313657348E-3</v>
      </c>
    </row>
    <row r="9" spans="1:17">
      <c r="A9" s="92" t="s">
        <v>22</v>
      </c>
      <c r="B9" s="19">
        <f>SUM('R 2009'!B9+'CR 2009'!C4+'TRT 2009'!B9)</f>
        <v>240791.53000000003</v>
      </c>
      <c r="C9" s="19">
        <f>SUM('R 2009'!C9+'CR 2009'!D4+'TRT 2009'!C9)</f>
        <v>382677.72</v>
      </c>
      <c r="D9" s="19">
        <f>SUM('R 2009'!D9+'CR 2009'!E4+'TRT 2009'!D9)</f>
        <v>286310.32</v>
      </c>
      <c r="E9" s="19">
        <f>SUM('R 2009'!E9+'CR 2009'!F4+'TRT 2009'!E9)</f>
        <v>260015.94</v>
      </c>
      <c r="F9" s="19">
        <f>SUM('R 2009'!F9+'CR 2009'!G4+'TRT 2009'!F9)</f>
        <v>403611.62</v>
      </c>
      <c r="G9" s="19">
        <f>SUM('R 2009'!G9+'CR 2009'!H4+'TRT 2009'!G9)</f>
        <v>334244.82</v>
      </c>
      <c r="H9" s="19">
        <f>SUM('R 2009'!H9+'CR 2009'!I4+'TRT 2009'!H9)</f>
        <v>370154.22</v>
      </c>
      <c r="I9" s="19">
        <f>SUM('R 2009'!I9+'CR 2009'!J4+'TRT 2009'!I9)</f>
        <v>364460.94</v>
      </c>
      <c r="J9" s="19">
        <f>SUM('R 2009'!J9+'CR 2009'!K4+'TRT 2009'!J9)</f>
        <v>401885.15</v>
      </c>
      <c r="K9" s="19">
        <f>SUM('R 2009'!K9+'CR 2009'!L4+'TRT 2009'!K9)</f>
        <v>417364.43</v>
      </c>
      <c r="L9" s="19">
        <f>SUM('R 2009'!L9+'CR 2009'!M4+'TRT 2009'!L9)</f>
        <v>338300.83</v>
      </c>
      <c r="M9" s="19">
        <f>SUM('R 2009'!M9+'CR 2009'!N4+'TRT 2009'!M9)</f>
        <v>356405.74</v>
      </c>
      <c r="N9" s="81">
        <f t="shared" si="0"/>
        <v>4156223.26</v>
      </c>
      <c r="O9" s="19">
        <f>SUM('TOTAL 2008'!B9:M9)</f>
        <v>4347932.0100000007</v>
      </c>
      <c r="P9" s="84">
        <f t="shared" si="1"/>
        <v>-4.4091938318971291E-2</v>
      </c>
      <c r="Q9" s="22">
        <f t="shared" si="2"/>
        <v>5.72559988299398E-2</v>
      </c>
    </row>
    <row r="10" spans="1:17">
      <c r="A10" s="92" t="s">
        <v>23</v>
      </c>
      <c r="B10" s="19">
        <f>SUM('R 2009'!B10+'CR 2009'!C5+'TRT 2009'!B10)</f>
        <v>7952.84</v>
      </c>
      <c r="C10" s="19">
        <f>SUM('R 2009'!C10+'CR 2009'!D5+'TRT 2009'!C10)</f>
        <v>17943.650000000001</v>
      </c>
      <c r="D10" s="19">
        <f>SUM('R 2009'!D10+'CR 2009'!E5+'TRT 2009'!D10)</f>
        <v>10816.810000000001</v>
      </c>
      <c r="E10" s="19">
        <f>SUM('R 2009'!E10+'CR 2009'!F5+'TRT 2009'!E10)</f>
        <v>9243.4399999999987</v>
      </c>
      <c r="F10" s="19">
        <f>SUM('R 2009'!F10+'CR 2009'!G5+'TRT 2009'!F10)</f>
        <v>19406.599999999999</v>
      </c>
      <c r="G10" s="19">
        <f>SUM('R 2009'!G10+'CR 2009'!H5+'TRT 2009'!G10)</f>
        <v>16976.010000000002</v>
      </c>
      <c r="H10" s="19">
        <f>SUM('R 2009'!H10+'CR 2009'!I5+'TRT 2009'!H10)</f>
        <v>21308.12</v>
      </c>
      <c r="I10" s="19">
        <f>SUM('R 2009'!I10+'CR 2009'!J5+'TRT 2009'!I10)</f>
        <v>25872.309999999998</v>
      </c>
      <c r="J10" s="19">
        <f>SUM('R 2009'!J10+'CR 2009'!K5+'TRT 2009'!J10)</f>
        <v>16200.4</v>
      </c>
      <c r="K10" s="19">
        <f>SUM('R 2009'!K10+'CR 2009'!L5+'TRT 2009'!K10)</f>
        <v>10399.85</v>
      </c>
      <c r="L10" s="19">
        <f>SUM('R 2009'!L10+'CR 2009'!M5+'TRT 2009'!L10)</f>
        <v>20956.07</v>
      </c>
      <c r="M10" s="19">
        <f>SUM('R 2009'!M10+'CR 2009'!N5+'TRT 2009'!M10)</f>
        <v>9623.7000000000007</v>
      </c>
      <c r="N10" s="81">
        <f t="shared" si="0"/>
        <v>186699.80000000002</v>
      </c>
      <c r="O10" s="19">
        <f>SUM('TOTAL 2008'!B10:M10)</f>
        <v>208540.64</v>
      </c>
      <c r="P10" s="84">
        <f t="shared" si="1"/>
        <v>-0.10473181630208861</v>
      </c>
      <c r="Q10" s="22">
        <f t="shared" si="2"/>
        <v>2.5719704793601477E-3</v>
      </c>
    </row>
    <row r="11" spans="1:17">
      <c r="A11" s="92" t="s">
        <v>51</v>
      </c>
      <c r="B11" s="19">
        <f>'TRT 2009'!B11</f>
        <v>24807.75</v>
      </c>
      <c r="C11" s="19">
        <f>'TRT 2009'!C11</f>
        <v>5883.43</v>
      </c>
      <c r="D11" s="19">
        <f>'TRT 2009'!D11</f>
        <v>10162</v>
      </c>
      <c r="E11" s="19">
        <f>'TRT 2009'!E11</f>
        <v>18500.2</v>
      </c>
      <c r="F11" s="19">
        <f>'TRT 2009'!F11</f>
        <v>19074.37</v>
      </c>
      <c r="G11" s="19">
        <f>'TRT 2009'!G11</f>
        <v>22157.21</v>
      </c>
      <c r="H11" s="19">
        <f>'TRT 2009'!H11</f>
        <v>43639.57</v>
      </c>
      <c r="I11" s="19">
        <f>'TRT 2009'!I11</f>
        <v>33948</v>
      </c>
      <c r="J11" s="19">
        <f>'TRT 2009'!J11</f>
        <v>83813.67</v>
      </c>
      <c r="K11" s="19">
        <f>'TRT 2009'!K11</f>
        <v>47772</v>
      </c>
      <c r="L11" s="19">
        <f>'TRT 2009'!L11</f>
        <v>23982</v>
      </c>
      <c r="M11" s="19">
        <f>'TRT 2009'!M11</f>
        <v>8757</v>
      </c>
      <c r="N11" s="81">
        <f t="shared" si="0"/>
        <v>342497.2</v>
      </c>
      <c r="O11" s="19">
        <f>SUM('TOTAL 2008'!B11:M11)</f>
        <v>281867</v>
      </c>
      <c r="P11" s="84">
        <f t="shared" si="1"/>
        <v>0.21510215811003075</v>
      </c>
      <c r="Q11" s="22">
        <f t="shared" si="2"/>
        <v>4.7182304837150779E-3</v>
      </c>
    </row>
    <row r="12" spans="1:17">
      <c r="A12" s="92" t="s">
        <v>24</v>
      </c>
      <c r="B12" s="19">
        <f>SUM('R 2009'!B12+'TRT 2009'!B12)</f>
        <v>49267.090000000004</v>
      </c>
      <c r="C12" s="19">
        <f>SUM('R 2009'!C12+'TRT 2009'!C12)</f>
        <v>37013.07</v>
      </c>
      <c r="D12" s="19">
        <f>SUM('R 2009'!D12+'TRT 2009'!D12)</f>
        <v>13715.11</v>
      </c>
      <c r="E12" s="19">
        <f>SUM('R 2009'!E12+'TRT 2009'!E12)</f>
        <v>19813.18</v>
      </c>
      <c r="F12" s="19">
        <f>SUM('R 2009'!F12+'TRT 2009'!F12)</f>
        <v>36187.800000000003</v>
      </c>
      <c r="G12" s="19">
        <f>SUM('R 2009'!G12+'TRT 2009'!G12)</f>
        <v>97775.49</v>
      </c>
      <c r="H12" s="19">
        <f>SUM('R 2009'!H12+'TRT 2009'!H12)</f>
        <v>188385.28</v>
      </c>
      <c r="I12" s="19">
        <f>SUM('R 2009'!I12+'TRT 2009'!I12)</f>
        <v>180394.87</v>
      </c>
      <c r="J12" s="19">
        <f>SUM('R 2009'!J12+'TRT 2009'!J12)</f>
        <v>149868.07</v>
      </c>
      <c r="K12" s="19">
        <f>SUM('R 2009'!K12+'TRT 2009'!K12)</f>
        <v>225232.68</v>
      </c>
      <c r="L12" s="19">
        <f>SUM('R 2009'!L12+'TRT 2009'!L12)</f>
        <v>185451.53</v>
      </c>
      <c r="M12" s="19">
        <f>SUM('R 2009'!M12+'TRT 2009'!M12)</f>
        <v>91997.05</v>
      </c>
      <c r="N12" s="81">
        <f t="shared" si="0"/>
        <v>1275101.22</v>
      </c>
      <c r="O12" s="19">
        <f>SUM('TOTAL 2008'!B12:M12)</f>
        <v>1230390.9500000002</v>
      </c>
      <c r="P12" s="84">
        <f t="shared" si="1"/>
        <v>3.6338263053706354E-2</v>
      </c>
      <c r="Q12" s="22">
        <f t="shared" si="2"/>
        <v>1.7565753664632255E-2</v>
      </c>
    </row>
    <row r="13" spans="1:17">
      <c r="A13" s="92" t="s">
        <v>59</v>
      </c>
      <c r="B13" s="19">
        <f>SUM('R 2009'!B13+'CR 2009'!C6+'TRT 2009'!B13)</f>
        <v>36077.089999999997</v>
      </c>
      <c r="C13" s="19">
        <f>SUM('R 2009'!C13+'CR 2009'!D6+'TRT 2009'!C13)</f>
        <v>45027.3</v>
      </c>
      <c r="D13" s="19">
        <f>SUM('R 2009'!D13+'CR 2009'!E6+'TRT 2009'!D13)</f>
        <v>122107.75</v>
      </c>
      <c r="E13" s="19">
        <f>SUM('R 2009'!E13+'CR 2009'!F6+'TRT 2009'!E13)</f>
        <v>197294.51</v>
      </c>
      <c r="F13" s="19">
        <f>SUM('R 2009'!F13+'CR 2009'!G6+'TRT 2009'!F13)</f>
        <v>228305.09</v>
      </c>
      <c r="G13" s="19">
        <f>SUM('R 2009'!G13+'CR 2009'!H6+'TRT 2009'!G13)</f>
        <v>205980.72</v>
      </c>
      <c r="H13" s="19">
        <f>SUM('R 2009'!H13+'CR 2009'!I6+'TRT 2009'!H13)</f>
        <v>201559.79</v>
      </c>
      <c r="I13" s="19">
        <f>SUM('R 2009'!I13+'CR 2009'!J6+'TRT 2009'!I13)</f>
        <v>222406.75</v>
      </c>
      <c r="J13" s="19">
        <f>SUM('R 2009'!J13+'CR 2009'!K6+'TRT 2009'!J13)</f>
        <v>222652.58</v>
      </c>
      <c r="K13" s="19">
        <f>SUM('R 2009'!K13+'CR 2009'!L6+'TRT 2009'!K13)</f>
        <v>186604.94</v>
      </c>
      <c r="L13" s="19">
        <f>SUM('R 2009'!L13+'CR 2009'!M6+'TRT 2009'!L13)</f>
        <v>111165.17</v>
      </c>
      <c r="M13" s="19">
        <f>SUM('R 2009'!M13+'CR 2009'!N6+'TRT 2009'!M13)</f>
        <v>45528.259999999995</v>
      </c>
      <c r="N13" s="81">
        <f t="shared" si="0"/>
        <v>1824709.95</v>
      </c>
      <c r="O13" s="19">
        <f>SUM('TOTAL 2008'!B13:M13)</f>
        <v>1861419.24</v>
      </c>
      <c r="P13" s="84">
        <f t="shared" si="1"/>
        <v>-1.9721129561334094E-2</v>
      </c>
      <c r="Q13" s="22">
        <f t="shared" si="2"/>
        <v>2.5137145967991024E-2</v>
      </c>
    </row>
    <row r="14" spans="1:17">
      <c r="A14" s="92" t="s">
        <v>26</v>
      </c>
      <c r="B14" s="19">
        <f>SUM('R 2009'!B14+'TRT 2009'!B14)</f>
        <v>53558.630000000005</v>
      </c>
      <c r="C14" s="19">
        <f>SUM('R 2009'!C14+'TRT 2009'!C14)</f>
        <v>121062.02</v>
      </c>
      <c r="D14" s="19">
        <f>SUM('R 2009'!D14+'TRT 2009'!D14)</f>
        <v>62962.350000000006</v>
      </c>
      <c r="E14" s="19">
        <f>SUM('R 2009'!E14+'TRT 2009'!E14)</f>
        <v>66325.7</v>
      </c>
      <c r="F14" s="19">
        <f>SUM('R 2009'!F14+'TRT 2009'!F14)</f>
        <v>118018.26000000001</v>
      </c>
      <c r="G14" s="19">
        <f>SUM('R 2009'!G14+'TRT 2009'!G14)</f>
        <v>72414.989999999991</v>
      </c>
      <c r="H14" s="19">
        <f>SUM('R 2009'!H14+'TRT 2009'!H14)</f>
        <v>91192.39</v>
      </c>
      <c r="I14" s="19">
        <f>SUM('R 2009'!I14+'TRT 2009'!I14)</f>
        <v>159903.72</v>
      </c>
      <c r="J14" s="19">
        <f>SUM('R 2009'!J14+'TRT 2009'!J14)</f>
        <v>125340.94</v>
      </c>
      <c r="K14" s="19">
        <f>SUM('R 2009'!K14+'TRT 2009'!K14)</f>
        <v>107537.60999999999</v>
      </c>
      <c r="L14" s="19">
        <f>SUM('R 2009'!L14+'TRT 2009'!L14)</f>
        <v>123662.55</v>
      </c>
      <c r="M14" s="19">
        <f>SUM('R 2009'!M14+'TRT 2009'!M14)</f>
        <v>82724.97</v>
      </c>
      <c r="N14" s="81">
        <f t="shared" si="0"/>
        <v>1184704.1299999999</v>
      </c>
      <c r="O14" s="19">
        <f>SUM('TOTAL 2008'!B14:M14)</f>
        <v>1311784.5529999998</v>
      </c>
      <c r="P14" s="84">
        <f t="shared" si="1"/>
        <v>-9.6875986768842459E-2</v>
      </c>
      <c r="Q14" s="22">
        <f t="shared" si="2"/>
        <v>1.6320446241163869E-2</v>
      </c>
    </row>
    <row r="15" spans="1:17">
      <c r="A15" s="92" t="s">
        <v>27</v>
      </c>
      <c r="B15" s="19">
        <f>SUM('R 2009'!B15+'TRT 2009'!B15)</f>
        <v>5928</v>
      </c>
      <c r="C15" s="19">
        <f>SUM('R 2009'!C15+'TRT 2009'!C15)</f>
        <v>16967.599999999999</v>
      </c>
      <c r="D15" s="19">
        <f>SUM('R 2009'!D15+'TRT 2009'!D15)</f>
        <v>5353.13</v>
      </c>
      <c r="E15" s="19">
        <f>SUM('R 2009'!E15+'TRT 2009'!E15)</f>
        <v>5657.7</v>
      </c>
      <c r="F15" s="19">
        <f>SUM('R 2009'!F15+'TRT 2009'!F15)</f>
        <v>16291.66</v>
      </c>
      <c r="G15" s="19">
        <f>SUM('R 2009'!G15+'TRT 2009'!G15)</f>
        <v>9236.84</v>
      </c>
      <c r="H15" s="19">
        <f>SUM('R 2009'!H15+'TRT 2009'!H15)</f>
        <v>8615.74</v>
      </c>
      <c r="I15" s="19">
        <f>SUM('R 2009'!I15+'TRT 2009'!I15)</f>
        <v>22119.239999999998</v>
      </c>
      <c r="J15" s="19">
        <f>SUM('R 2009'!J15+'TRT 2009'!J15)</f>
        <v>11148.990000000002</v>
      </c>
      <c r="K15" s="19">
        <f>SUM('R 2009'!K15+'TRT 2009'!K15)</f>
        <v>9879.0800000000017</v>
      </c>
      <c r="L15" s="19">
        <f>SUM('R 2009'!L15+'TRT 2009'!L15)</f>
        <v>18512.18</v>
      </c>
      <c r="M15" s="19">
        <f>SUM('R 2009'!M15+'TRT 2009'!M15)</f>
        <v>9146.0499999999993</v>
      </c>
      <c r="N15" s="81">
        <f t="shared" si="0"/>
        <v>138856.21</v>
      </c>
      <c r="O15" s="19">
        <f>SUM('TOTAL 2008'!B15:M15)</f>
        <v>162576.34</v>
      </c>
      <c r="P15" s="84">
        <f t="shared" si="1"/>
        <v>-0.14590148849457429</v>
      </c>
      <c r="Q15" s="22">
        <f t="shared" si="2"/>
        <v>1.9128787122205449E-3</v>
      </c>
    </row>
    <row r="16" spans="1:17">
      <c r="A16" s="92" t="s">
        <v>28</v>
      </c>
      <c r="B16" s="19">
        <f>SUM('R 2009'!B16+'TRT 2009'!B16)</f>
        <v>21164.969999999998</v>
      </c>
      <c r="C16" s="19">
        <f>SUM('R 2009'!C16+'TRT 2009'!C16)</f>
        <v>48833.119999999995</v>
      </c>
      <c r="D16" s="19">
        <f>SUM('R 2009'!D16+'TRT 2009'!D16)</f>
        <v>13470.4</v>
      </c>
      <c r="E16" s="19">
        <f>SUM('R 2009'!E16+'TRT 2009'!E16)</f>
        <v>20375.48</v>
      </c>
      <c r="F16" s="19">
        <f>SUM('R 2009'!F16+'TRT 2009'!F16)</f>
        <v>34152.79</v>
      </c>
      <c r="G16" s="19">
        <f>SUM('R 2009'!G16+'TRT 2009'!G16)</f>
        <v>45622.23</v>
      </c>
      <c r="H16" s="19">
        <f>SUM('R 2009'!H16+'TRT 2009'!H16)</f>
        <v>72311.11</v>
      </c>
      <c r="I16" s="19">
        <f>SUM('R 2009'!I16+'TRT 2009'!I16)</f>
        <v>148765.19</v>
      </c>
      <c r="J16" s="19">
        <f>SUM('R 2009'!J16+'TRT 2009'!J16)</f>
        <v>105811.11000000002</v>
      </c>
      <c r="K16" s="19">
        <f>SUM('R 2009'!K16+'TRT 2009'!K16)</f>
        <v>92939.790000000008</v>
      </c>
      <c r="L16" s="19">
        <f>SUM('R 2009'!L16+'TRT 2009'!L16)</f>
        <v>135352.85</v>
      </c>
      <c r="M16" s="19">
        <f>SUM('R 2009'!M16+'TRT 2009'!M16)</f>
        <v>72418.06</v>
      </c>
      <c r="N16" s="81">
        <f t="shared" si="0"/>
        <v>811217.10000000009</v>
      </c>
      <c r="O16" s="19">
        <f>SUM('TOTAL 2008'!B16:M16)</f>
        <v>813775.29999999993</v>
      </c>
      <c r="P16" s="84">
        <f t="shared" si="1"/>
        <v>-3.1436196207967892E-3</v>
      </c>
      <c r="Q16" s="22">
        <f t="shared" si="2"/>
        <v>1.1175300849557144E-2</v>
      </c>
    </row>
    <row r="17" spans="1:17">
      <c r="A17" s="92" t="s">
        <v>52</v>
      </c>
      <c r="B17" s="19">
        <f>'TRT 2009'!B17</f>
        <v>5509.42</v>
      </c>
      <c r="C17" s="19">
        <f>'TRT 2009'!C17</f>
        <v>7704.03</v>
      </c>
      <c r="D17" s="19">
        <f>'TRT 2009'!D17</f>
        <v>3859.86</v>
      </c>
      <c r="E17" s="19">
        <f>'TRT 2009'!E17</f>
        <v>6093.68</v>
      </c>
      <c r="F17" s="19">
        <f>'TRT 2009'!F17</f>
        <v>8615.51</v>
      </c>
      <c r="G17" s="19">
        <f>'TRT 2009'!G17</f>
        <v>6365.42</v>
      </c>
      <c r="H17" s="19">
        <f>'TRT 2009'!H17</f>
        <v>8760.7000000000007</v>
      </c>
      <c r="I17" s="19">
        <f>'TRT 2009'!I17</f>
        <v>15191.2</v>
      </c>
      <c r="J17" s="19">
        <f>'TRT 2009'!J17</f>
        <v>9593.66</v>
      </c>
      <c r="K17" s="19">
        <f>'TRT 2009'!K17</f>
        <v>8990.0499999999993</v>
      </c>
      <c r="L17" s="19">
        <f>'TRT 2009'!L17</f>
        <v>10729.59</v>
      </c>
      <c r="M17" s="19">
        <f>'TRT 2009'!M17</f>
        <v>9466.98</v>
      </c>
      <c r="N17" s="81">
        <f t="shared" si="0"/>
        <v>100880.09999999999</v>
      </c>
      <c r="O17" s="19">
        <f>SUM('TOTAL 2008'!B17:M17)</f>
        <v>96651.37</v>
      </c>
      <c r="P17" s="84">
        <f t="shared" si="1"/>
        <v>4.3752406199725868E-2</v>
      </c>
      <c r="Q17" s="22">
        <f t="shared" si="2"/>
        <v>1.389721034274807E-3</v>
      </c>
    </row>
    <row r="18" spans="1:17">
      <c r="A18" s="92" t="s">
        <v>29</v>
      </c>
      <c r="B18" s="19">
        <f>SUM('R 2009'!B17+'CR 2009'!C7+'TRT 2009'!B18)</f>
        <v>1677.55</v>
      </c>
      <c r="C18" s="19">
        <f>SUM('R 2009'!C17+'CR 2009'!D7+'TRT 2009'!C18)</f>
        <v>5412.0199999999995</v>
      </c>
      <c r="D18" s="19">
        <f>SUM('R 2009'!D17+'CR 2009'!E7+'TRT 2009'!D18)</f>
        <v>3111.04</v>
      </c>
      <c r="E18" s="19">
        <f>SUM('R 2009'!E17+'CR 2009'!F7+'TRT 2009'!E18)</f>
        <v>2469.16</v>
      </c>
      <c r="F18" s="19">
        <f>SUM('R 2009'!F17+'CR 2009'!G7+'TRT 2009'!F18)</f>
        <v>5825.42</v>
      </c>
      <c r="G18" s="19">
        <f>SUM('R 2009'!G17+'CR 2009'!H7+'TRT 2009'!G18)</f>
        <v>2236.1400000000003</v>
      </c>
      <c r="H18" s="19">
        <f>SUM('R 2009'!H17+'CR 2009'!I7+'TRT 2009'!H18)</f>
        <v>3069.54</v>
      </c>
      <c r="I18" s="19">
        <f>SUM('R 2009'!I17+'CR 2009'!J7+'TRT 2009'!I18)</f>
        <v>7387.98</v>
      </c>
      <c r="J18" s="19">
        <f>SUM('R 2009'!J17+'CR 2009'!K7+'TRT 2009'!J18)</f>
        <v>2741.19</v>
      </c>
      <c r="K18" s="19">
        <f>SUM('R 2009'!K17+'CR 2009'!L7+'TRT 2009'!K18)</f>
        <v>4222.45</v>
      </c>
      <c r="L18" s="19">
        <f>SUM('R 2009'!L17+'CR 2009'!M7+'TRT 2009'!L18)</f>
        <v>9234.61</v>
      </c>
      <c r="M18" s="19">
        <f>SUM('R 2009'!M17+'CR 2009'!N7+'TRT 2009'!M18)</f>
        <v>3356.3599999999997</v>
      </c>
      <c r="N18" s="81">
        <f t="shared" si="0"/>
        <v>50743.46</v>
      </c>
      <c r="O18" s="19">
        <f>SUM('TOTAL 2008'!B18:M18)</f>
        <v>50711.24</v>
      </c>
      <c r="P18" s="84">
        <f t="shared" si="1"/>
        <v>6.3536210118320113E-4</v>
      </c>
      <c r="Q18" s="22">
        <f t="shared" si="2"/>
        <v>6.9904028360283442E-4</v>
      </c>
    </row>
    <row r="19" spans="1:17">
      <c r="A19" s="92" t="s">
        <v>53</v>
      </c>
      <c r="B19" s="19">
        <f>'TRT 2009'!B19</f>
        <v>3098.97</v>
      </c>
      <c r="C19" s="19">
        <f>'TRT 2009'!C19</f>
        <v>2512.41</v>
      </c>
      <c r="D19" s="19">
        <f>'TRT 2009'!D19</f>
        <v>0</v>
      </c>
      <c r="E19" s="19">
        <f>'TRT 2009'!E19</f>
        <v>0</v>
      </c>
      <c r="F19" s="19">
        <f>'TRT 2009'!F19</f>
        <v>0</v>
      </c>
      <c r="G19" s="19">
        <f>'TRT 2009'!G19</f>
        <v>0</v>
      </c>
      <c r="H19" s="19">
        <f>'TRT 2009'!H19</f>
        <v>0</v>
      </c>
      <c r="I19" s="19">
        <f>'TRT 2009'!I19</f>
        <v>2465.61</v>
      </c>
      <c r="J19" s="19">
        <f>'TRT 2009'!J19</f>
        <v>1221.68</v>
      </c>
      <c r="K19" s="19">
        <f>'TRT 2009'!K19</f>
        <v>1951.26</v>
      </c>
      <c r="L19" s="19">
        <f>'TRT 2009'!L19</f>
        <v>3524.07</v>
      </c>
      <c r="M19" s="19">
        <f>'TRT 2009'!M19</f>
        <v>618.01</v>
      </c>
      <c r="N19" s="81">
        <f t="shared" si="0"/>
        <v>15392.01</v>
      </c>
      <c r="O19" s="19">
        <f>SUM('TOTAL 2008'!B19:M19)</f>
        <v>14084.180000000002</v>
      </c>
      <c r="P19" s="84">
        <f t="shared" si="1"/>
        <v>9.2858086164760545E-2</v>
      </c>
      <c r="Q19" s="22">
        <f t="shared" si="2"/>
        <v>2.1203983795384991E-4</v>
      </c>
    </row>
    <row r="20" spans="1:17">
      <c r="A20" s="92" t="s">
        <v>30</v>
      </c>
      <c r="B20" s="19">
        <f>SUM('R 2009'!B18+'TRT 2009'!B20)</f>
        <v>3143.71</v>
      </c>
      <c r="C20" s="19">
        <f>SUM('R 2009'!C18+'TRT 2009'!C20)</f>
        <v>2083.9899999999998</v>
      </c>
      <c r="D20" s="19">
        <f>SUM('R 2009'!D18+'TRT 2009'!D20)</f>
        <v>1675.34</v>
      </c>
      <c r="E20" s="19">
        <f>SUM('R 2009'!E18+'TRT 2009'!E20)</f>
        <v>4477</v>
      </c>
      <c r="F20" s="19">
        <f>SUM('R 2009'!F18+'TRT 2009'!F20)</f>
        <v>5768.05</v>
      </c>
      <c r="G20" s="19">
        <f>SUM('R 2009'!G18+'TRT 2009'!G20)</f>
        <v>7380.21</v>
      </c>
      <c r="H20" s="19">
        <f>SUM('R 2009'!H18+'TRT 2009'!H20)</f>
        <v>5832.16</v>
      </c>
      <c r="I20" s="19">
        <f>SUM('R 2009'!I18+'TRT 2009'!I20)</f>
        <v>9416.69</v>
      </c>
      <c r="J20" s="19">
        <f>SUM('R 2009'!J18+'TRT 2009'!J20)</f>
        <v>7698.22</v>
      </c>
      <c r="K20" s="19">
        <f>SUM('R 2009'!K18+'TRT 2009'!K20)</f>
        <v>4938.2</v>
      </c>
      <c r="L20" s="19">
        <f>SUM('R 2009'!L18+'TRT 2009'!L20)</f>
        <v>8834.86</v>
      </c>
      <c r="M20" s="19">
        <f>SUM('R 2009'!M18+'TRT 2009'!M20)</f>
        <v>1130.3699999999999</v>
      </c>
      <c r="N20" s="81">
        <f t="shared" si="0"/>
        <v>62378.8</v>
      </c>
      <c r="O20" s="19">
        <f>SUM('TOTAL 2008'!B20:M20)</f>
        <v>106338.88</v>
      </c>
      <c r="P20" s="84">
        <f t="shared" si="1"/>
        <v>-0.41339611626528316</v>
      </c>
      <c r="Q20" s="22">
        <f t="shared" si="2"/>
        <v>8.5932835566996204E-4</v>
      </c>
    </row>
    <row r="21" spans="1:17">
      <c r="A21" s="92" t="s">
        <v>31</v>
      </c>
      <c r="B21" s="19">
        <f>SUM('R 2009'!B19+'CR 2009'!C8+'TRT 2009'!B39+'TRT 2009'!B21)</f>
        <v>2178361.5</v>
      </c>
      <c r="C21" s="19">
        <f>SUM('R 2009'!C19+'CR 2009'!D8+'TRT 2009'!C39+'TRT 2009'!C21)</f>
        <v>3003131.92</v>
      </c>
      <c r="D21" s="19">
        <f>SUM('R 2009'!D19+'CR 2009'!E8+'TRT 2009'!D39+'TRT 2009'!D21)</f>
        <v>3227856.6500000004</v>
      </c>
      <c r="E21" s="19">
        <f>SUM('R 2009'!E19+'CR 2009'!F8+'TRT 2009'!E39+'TRT 2009'!E21)</f>
        <v>3442455.33</v>
      </c>
      <c r="F21" s="19">
        <f>SUM('R 2009'!F19+'CR 2009'!G8+'TRT 2009'!F39+'TRT 2009'!F21)</f>
        <v>3555919.8</v>
      </c>
      <c r="G21" s="19">
        <f>SUM('R 2009'!G19+'CR 2009'!H8+'TRT 2009'!G39+'TRT 2009'!G21)</f>
        <v>2789452.74</v>
      </c>
      <c r="H21" s="19">
        <f>SUM('R 2009'!H19+'CR 2009'!I8+'TRT 2009'!H39+'TRT 2009'!H21)</f>
        <v>2359362.1500000004</v>
      </c>
      <c r="I21" s="19">
        <f>SUM('R 2009'!I19+'CR 2009'!J8+'TRT 2009'!I39+'TRT 2009'!I21)</f>
        <v>3161790.32</v>
      </c>
      <c r="J21" s="19">
        <f>SUM('R 2009'!J19+'CR 2009'!K8+'TRT 2009'!J39+'TRT 2009'!J21)</f>
        <v>3144376.3</v>
      </c>
      <c r="K21" s="19">
        <f>SUM('R 2009'!K19+'CR 2009'!L8+'TRT 2009'!K39+'TRT 2009'!K21)</f>
        <v>3197809.54</v>
      </c>
      <c r="L21" s="19">
        <f>SUM('R 2009'!L19+'CR 2009'!M8+'TRT 2009'!L39+'TRT 2009'!L21)</f>
        <v>3344747.82</v>
      </c>
      <c r="M21" s="19">
        <f>SUM('R 2009'!M19+'CR 2009'!N8+'TRT 2009'!M39+'TRT 2009'!M21)</f>
        <v>2729944.58</v>
      </c>
      <c r="N21" s="81">
        <f t="shared" si="0"/>
        <v>36135208.649999999</v>
      </c>
      <c r="O21" s="19">
        <f>SUM('TOTAL 2008'!B21:M21)</f>
        <v>40744432.010000005</v>
      </c>
      <c r="P21" s="84">
        <f t="shared" si="1"/>
        <v>-0.11312523288749621</v>
      </c>
      <c r="Q21" s="22">
        <f t="shared" si="2"/>
        <v>0.49779747976869526</v>
      </c>
    </row>
    <row r="22" spans="1:17">
      <c r="A22" s="92" t="s">
        <v>45</v>
      </c>
      <c r="B22" s="19">
        <f>'TRT 2009'!B22</f>
        <v>17724.41</v>
      </c>
      <c r="C22" s="19">
        <f>'TRT 2009'!C22</f>
        <v>21526.11</v>
      </c>
      <c r="D22" s="19">
        <f>'TRT 2009'!D22</f>
        <v>8664.74</v>
      </c>
      <c r="E22" s="19">
        <f>'TRT 2009'!E22</f>
        <v>7821.29</v>
      </c>
      <c r="F22" s="19">
        <f>'TRT 2009'!F22</f>
        <v>20030.62</v>
      </c>
      <c r="G22" s="19">
        <f>'TRT 2009'!G22</f>
        <v>39783.949999999997</v>
      </c>
      <c r="H22" s="19">
        <f>'TRT 2009'!H22</f>
        <v>50460.92</v>
      </c>
      <c r="I22" s="19">
        <f>'TRT 2009'!I22</f>
        <v>71811.92</v>
      </c>
      <c r="J22" s="19">
        <f>'TRT 2009'!J22</f>
        <v>49747.25</v>
      </c>
      <c r="K22" s="19">
        <f>'TRT 2009'!K22</f>
        <v>48902.18</v>
      </c>
      <c r="L22" s="19">
        <f>'TRT 2009'!L22</f>
        <v>79862.44</v>
      </c>
      <c r="M22" s="19">
        <f>'TRT 2009'!M22</f>
        <v>36261.57</v>
      </c>
      <c r="N22" s="81">
        <f t="shared" si="0"/>
        <v>452597.39999999997</v>
      </c>
      <c r="O22" s="19">
        <f>SUM('TOTAL 2008'!B22:M22)</f>
        <v>520281.44</v>
      </c>
      <c r="P22" s="84">
        <f t="shared" si="1"/>
        <v>-0.13009120602111046</v>
      </c>
      <c r="Q22" s="22">
        <f t="shared" si="2"/>
        <v>6.2349673209888623E-3</v>
      </c>
    </row>
    <row r="23" spans="1:17">
      <c r="A23" s="92" t="s">
        <v>32</v>
      </c>
      <c r="B23" s="19">
        <f>'R 2009'!B20+'TRT 2009'!B23</f>
        <v>5022.3900000000003</v>
      </c>
      <c r="C23" s="19">
        <f>'R 2009'!C20+'TRT 2009'!C23</f>
        <v>27247.870000000003</v>
      </c>
      <c r="D23" s="19">
        <f>'R 2009'!D20+'TRT 2009'!D23</f>
        <v>4673.8100000000004</v>
      </c>
      <c r="E23" s="19">
        <f>'R 2009'!E20+'TRT 2009'!E23</f>
        <v>3079.81</v>
      </c>
      <c r="F23" s="19">
        <f>'R 2009'!F20+'TRT 2009'!F23</f>
        <v>19717.53</v>
      </c>
      <c r="G23" s="19">
        <f>'R 2009'!G20+'TRT 2009'!G23</f>
        <v>8518.75</v>
      </c>
      <c r="H23" s="19">
        <f>'R 2009'!H20+'TRT 2009'!H23</f>
        <v>10219.150000000001</v>
      </c>
      <c r="I23" s="19">
        <f>'R 2009'!I20+'TRT 2009'!I23</f>
        <v>25537.22</v>
      </c>
      <c r="J23" s="19">
        <f>'R 2009'!J20+'TRT 2009'!J23</f>
        <v>8169.9500000000007</v>
      </c>
      <c r="K23" s="19">
        <f>'R 2009'!K20+'TRT 2009'!K23</f>
        <v>17613.78</v>
      </c>
      <c r="L23" s="19">
        <f>'R 2009'!L20+'TRT 2009'!L23</f>
        <v>22949.57</v>
      </c>
      <c r="M23" s="19">
        <f>'R 2009'!M20+'TRT 2009'!M23</f>
        <v>1975.96</v>
      </c>
      <c r="N23" s="81">
        <f t="shared" si="0"/>
        <v>154725.78999999998</v>
      </c>
      <c r="O23" s="19">
        <f>SUM('TOTAL 2008'!B23:M23)</f>
        <v>164682.78000000003</v>
      </c>
      <c r="P23" s="84">
        <f t="shared" si="1"/>
        <v>-6.0461634179360124E-2</v>
      </c>
      <c r="Q23" s="22">
        <f t="shared" si="2"/>
        <v>2.1314975392350581E-3</v>
      </c>
    </row>
    <row r="24" spans="1:17">
      <c r="A24" s="92" t="s">
        <v>33</v>
      </c>
      <c r="B24" s="19">
        <f>SUM('R 2009'!B21+'CR 2009'!C9+'TRT 2009'!B24)</f>
        <v>25491.040000000001</v>
      </c>
      <c r="C24" s="19">
        <f>SUM('R 2009'!C21+'CR 2009'!D9+'TRT 2009'!C24)</f>
        <v>47517.81</v>
      </c>
      <c r="D24" s="19">
        <f>SUM('R 2009'!D21+'CR 2009'!E9+'TRT 2009'!D24)</f>
        <v>31421.21</v>
      </c>
      <c r="E24" s="19">
        <f>SUM('R 2009'!E21+'CR 2009'!F9+'TRT 2009'!E24)</f>
        <v>14448.150000000001</v>
      </c>
      <c r="F24" s="19">
        <f>SUM('R 2009'!F21+'CR 2009'!G9+'TRT 2009'!F24)</f>
        <v>43377.81</v>
      </c>
      <c r="G24" s="19">
        <f>SUM('R 2009'!G21+'CR 2009'!H9+'TRT 2009'!G24)</f>
        <v>26546.989999999998</v>
      </c>
      <c r="H24" s="19">
        <f>SUM('R 2009'!H21+'CR 2009'!I9+'TRT 2009'!H24)</f>
        <v>34904.81</v>
      </c>
      <c r="I24" s="19">
        <f>SUM('R 2009'!I21+'CR 2009'!J9+'TRT 2009'!I24)</f>
        <v>74555.3</v>
      </c>
      <c r="J24" s="19">
        <f>SUM('R 2009'!J21+'CR 2009'!K9+'TRT 2009'!J24)</f>
        <v>39786.61</v>
      </c>
      <c r="K24" s="19">
        <f>SUM('R 2009'!K21+'CR 2009'!L9+'TRT 2009'!K24)</f>
        <v>33374.65</v>
      </c>
      <c r="L24" s="19">
        <f>SUM('R 2009'!L21+'CR 2009'!M9+'TRT 2009'!L24)</f>
        <v>73357.84</v>
      </c>
      <c r="M24" s="19">
        <f>SUM('R 2009'!M21+'CR 2009'!N9+'TRT 2009'!M24)</f>
        <v>25048.2</v>
      </c>
      <c r="N24" s="81">
        <f t="shared" si="0"/>
        <v>469830.42</v>
      </c>
      <c r="O24" s="19">
        <f>SUM('TOTAL 2008'!B24:M24)</f>
        <v>463145.65</v>
      </c>
      <c r="P24" s="84">
        <f t="shared" si="1"/>
        <v>1.4433407719580238E-2</v>
      </c>
      <c r="Q24" s="22">
        <f t="shared" si="2"/>
        <v>6.4723688538786831E-3</v>
      </c>
    </row>
    <row r="25" spans="1:17">
      <c r="A25" s="92" t="s">
        <v>34</v>
      </c>
      <c r="B25" s="19">
        <f>SUM('R 2009'!B22+'TRT 2009'!B25)</f>
        <v>160430.03</v>
      </c>
      <c r="C25" s="19">
        <f>SUM('R 2009'!C22+'TRT 2009'!C25)</f>
        <v>853689.89</v>
      </c>
      <c r="D25" s="19">
        <f>SUM('R 2009'!D22+'TRT 2009'!D25)</f>
        <v>862915.21</v>
      </c>
      <c r="E25" s="19">
        <f>SUM('R 2009'!E22+'TRT 2009'!E25)</f>
        <v>801338.19</v>
      </c>
      <c r="F25" s="19">
        <f>SUM('R 2009'!F22+'TRT 2009'!F25)</f>
        <v>755612.96</v>
      </c>
      <c r="G25" s="19">
        <f>SUM('R 2009'!G22+'TRT 2009'!G25)</f>
        <v>264151.87</v>
      </c>
      <c r="H25" s="19">
        <f>SUM('R 2009'!H22+'TRT 2009'!H25)</f>
        <v>153052.20000000001</v>
      </c>
      <c r="I25" s="19">
        <f>SUM('R 2009'!I22+'TRT 2009'!I25)</f>
        <v>249473.32</v>
      </c>
      <c r="J25" s="19">
        <f>SUM('R 2009'!J22+'TRT 2009'!J25)</f>
        <v>360351.61</v>
      </c>
      <c r="K25" s="19">
        <f>SUM('R 2009'!K22+'TRT 2009'!K25)</f>
        <v>284075.38</v>
      </c>
      <c r="L25" s="19">
        <f>SUM('R 2009'!L22+'TRT 2009'!L25)</f>
        <v>252732.46</v>
      </c>
      <c r="M25" s="19">
        <f>SUM('R 2009'!M22+'TRT 2009'!M25)</f>
        <v>159584.06</v>
      </c>
      <c r="N25" s="81">
        <f t="shared" si="0"/>
        <v>5157407.18</v>
      </c>
      <c r="O25" s="19">
        <f>SUM('TOTAL 2008'!B25:M25)</f>
        <v>7233222.4999999991</v>
      </c>
      <c r="P25" s="84">
        <f t="shared" si="1"/>
        <v>-0.28698347382511735</v>
      </c>
      <c r="Q25" s="22">
        <f t="shared" si="2"/>
        <v>7.1048276521989126E-2</v>
      </c>
    </row>
    <row r="26" spans="1:17">
      <c r="A26" s="92" t="s">
        <v>35</v>
      </c>
      <c r="B26" s="19">
        <f>SUM('R 2009'!B23+'TRT 2009'!B26)</f>
        <v>33143.97</v>
      </c>
      <c r="C26" s="19">
        <f>SUM('R 2009'!C23+'TRT 2009'!C26)</f>
        <v>52465.329999999994</v>
      </c>
      <c r="D26" s="19">
        <f>SUM('R 2009'!D23+'TRT 2009'!D26)</f>
        <v>45757.130000000005</v>
      </c>
      <c r="E26" s="19">
        <f>SUM('R 2009'!E23+'TRT 2009'!E26)</f>
        <v>34269.22</v>
      </c>
      <c r="F26" s="19">
        <f>SUM('R 2009'!F23+'TRT 2009'!F26)</f>
        <v>62922.149999999994</v>
      </c>
      <c r="G26" s="19">
        <f>SUM('R 2009'!G23+'TRT 2009'!G26)</f>
        <v>40725.869999999995</v>
      </c>
      <c r="H26" s="19">
        <f>SUM('R 2009'!H23+'TRT 2009'!H26)</f>
        <v>54990.58</v>
      </c>
      <c r="I26" s="19">
        <f>SUM('R 2009'!I23+'TRT 2009'!I26)</f>
        <v>75549.45</v>
      </c>
      <c r="J26" s="19">
        <f>SUM('R 2009'!J23+'TRT 2009'!J26)</f>
        <v>49158.2</v>
      </c>
      <c r="K26" s="19">
        <f>SUM('R 2009'!K23+'TRT 2009'!K26)</f>
        <v>61036.34</v>
      </c>
      <c r="L26" s="19">
        <f>SUM('R 2009'!L23+'TRT 2009'!L26)</f>
        <v>79806.880000000005</v>
      </c>
      <c r="M26" s="19">
        <f>SUM('R 2009'!M23+'TRT 2009'!M26)</f>
        <v>38436.93</v>
      </c>
      <c r="N26" s="81">
        <f t="shared" si="0"/>
        <v>628262.05000000005</v>
      </c>
      <c r="O26" s="19">
        <f>SUM('TOTAL 2008'!B26:M26)</f>
        <v>621174.29999999993</v>
      </c>
      <c r="P26" s="84">
        <f t="shared" si="1"/>
        <v>1.1410243469506254E-2</v>
      </c>
      <c r="Q26" s="22">
        <f t="shared" si="2"/>
        <v>8.6549179265445874E-3</v>
      </c>
    </row>
    <row r="27" spans="1:17">
      <c r="A27" s="92" t="s">
        <v>36</v>
      </c>
      <c r="B27" s="19">
        <f>SUM('R 2009'!B24+'CR 2009'!C10+'TRT 2009'!B27)</f>
        <v>70457.570000000007</v>
      </c>
      <c r="C27" s="19">
        <f>SUM('R 2009'!C24+'CR 2009'!D10+'TRT 2009'!C27)</f>
        <v>120643.94</v>
      </c>
      <c r="D27" s="19">
        <f>SUM('R 2009'!D24+'CR 2009'!E10+'TRT 2009'!D27)</f>
        <v>73444.91</v>
      </c>
      <c r="E27" s="19">
        <f>SUM('R 2009'!E24+'CR 2009'!F10+'TRT 2009'!E27)</f>
        <v>36274.33</v>
      </c>
      <c r="F27" s="19">
        <f>SUM('R 2009'!F24+'CR 2009'!G10+'TRT 2009'!F27)</f>
        <v>92229.510000000009</v>
      </c>
      <c r="G27" s="19">
        <f>SUM('R 2009'!G24+'CR 2009'!H10+'TRT 2009'!G27)</f>
        <v>58633.54</v>
      </c>
      <c r="H27" s="19">
        <f>SUM('R 2009'!H24+'CR 2009'!I10+'TRT 2009'!H27)</f>
        <v>73104.08</v>
      </c>
      <c r="I27" s="19">
        <f>SUM('R 2009'!I24+'CR 2009'!J10+'TRT 2009'!I27)</f>
        <v>104879.63</v>
      </c>
      <c r="J27" s="19">
        <f>SUM('R 2009'!J24+'CR 2009'!K10+'TRT 2009'!J27)</f>
        <v>62351.519999999997</v>
      </c>
      <c r="K27" s="19">
        <f>SUM('R 2009'!K24+'CR 2009'!L10+'TRT 2009'!K27)</f>
        <v>64565.979999999996</v>
      </c>
      <c r="L27" s="19">
        <f>SUM('R 2009'!L24+'CR 2009'!M10+'TRT 2009'!L27)</f>
        <v>82401.919999999998</v>
      </c>
      <c r="M27" s="19">
        <f>SUM('R 2009'!M24+'CR 2009'!N10+'TRT 2009'!M27)</f>
        <v>69611.290000000008</v>
      </c>
      <c r="N27" s="81">
        <f t="shared" si="0"/>
        <v>908598.22000000009</v>
      </c>
      <c r="O27" s="19">
        <f>SUM('TOTAL 2008'!B27:M27)</f>
        <v>1206872.0999999999</v>
      </c>
      <c r="P27" s="84">
        <f t="shared" si="1"/>
        <v>-0.24714622203960124</v>
      </c>
      <c r="Q27" s="22">
        <f t="shared" si="2"/>
        <v>1.2516820047151508E-2</v>
      </c>
    </row>
    <row r="28" spans="1:17">
      <c r="A28" s="92" t="s">
        <v>37</v>
      </c>
      <c r="B28" s="19">
        <f>SUM('R 2009'!B25+'CR 2009'!C11+'TRT 2009'!B28)</f>
        <v>451230.45</v>
      </c>
      <c r="C28" s="19">
        <f>SUM('R 2009'!C25+'CR 2009'!D11+'TRT 2009'!C28)</f>
        <v>576994.39</v>
      </c>
      <c r="D28" s="19">
        <f>SUM('R 2009'!D25+'CR 2009'!E11+'TRT 2009'!D28)</f>
        <v>515131.07</v>
      </c>
      <c r="E28" s="19">
        <f>SUM('R 2009'!E25+'CR 2009'!F11+'TRT 2009'!E28)</f>
        <v>463377.18000000005</v>
      </c>
      <c r="F28" s="19">
        <f>SUM('R 2009'!F25+'CR 2009'!G11+'TRT 2009'!F28)</f>
        <v>666905.5</v>
      </c>
      <c r="G28" s="19">
        <f>SUM('R 2009'!G25+'CR 2009'!H11+'TRT 2009'!G28)</f>
        <v>513220.02</v>
      </c>
      <c r="H28" s="19">
        <f>SUM('R 2009'!H25+'CR 2009'!I11+'TRT 2009'!H28)</f>
        <v>556963.31000000006</v>
      </c>
      <c r="I28" s="19">
        <f>SUM('R 2009'!I25+'CR 2009'!J11+'TRT 2009'!I28)</f>
        <v>691396.19</v>
      </c>
      <c r="J28" s="19">
        <f>SUM('R 2009'!J25+'CR 2009'!K11+'TRT 2009'!J28)</f>
        <v>486187.05</v>
      </c>
      <c r="K28" s="19">
        <f>SUM('R 2009'!K25+'CR 2009'!L11+'TRT 2009'!K28)</f>
        <v>646447.18999999994</v>
      </c>
      <c r="L28" s="19">
        <f>SUM('R 2009'!L25+'CR 2009'!M11+'TRT 2009'!L28)</f>
        <v>660631.88</v>
      </c>
      <c r="M28" s="19">
        <f>SUM('R 2009'!M25+'CR 2009'!N11+'TRT 2009'!M28)</f>
        <v>543544.69999999995</v>
      </c>
      <c r="N28" s="81">
        <f t="shared" si="0"/>
        <v>6772028.9299999997</v>
      </c>
      <c r="O28" s="19">
        <f>SUM('TOTAL 2008'!B28:M28)</f>
        <v>6972333.9099999992</v>
      </c>
      <c r="P28" s="84">
        <f t="shared" si="1"/>
        <v>-2.8728540914070955E-2</v>
      </c>
      <c r="Q28" s="22">
        <f t="shared" si="2"/>
        <v>9.3291254159527146E-2</v>
      </c>
    </row>
    <row r="29" spans="1:17">
      <c r="A29" s="92" t="s">
        <v>38</v>
      </c>
      <c r="B29" s="19">
        <f>SUM('R 2009'!B26+'TRT 2009'!B29)</f>
        <v>41340.050000000003</v>
      </c>
      <c r="C29" s="19">
        <f>SUM('R 2009'!C26+'TRT 2009'!C29)</f>
        <v>72371.47</v>
      </c>
      <c r="D29" s="19">
        <f>SUM('R 2009'!D26+'TRT 2009'!D29)</f>
        <v>56034.62</v>
      </c>
      <c r="E29" s="19">
        <f>SUM('R 2009'!E26+'TRT 2009'!E29)</f>
        <v>52032.75</v>
      </c>
      <c r="F29" s="19">
        <f>SUM('R 2009'!F26+'TRT 2009'!F29)</f>
        <v>49457.39</v>
      </c>
      <c r="G29" s="19">
        <f>SUM('R 2009'!G26+'TRT 2009'!G29)</f>
        <v>32224.55</v>
      </c>
      <c r="H29" s="19">
        <f>SUM('R 2009'!H26+'TRT 2009'!H29)</f>
        <v>26912.959999999999</v>
      </c>
      <c r="I29" s="19">
        <f>SUM('R 2009'!I26+'TRT 2009'!I29)</f>
        <v>68533.88</v>
      </c>
      <c r="J29" s="19">
        <f>SUM('R 2009'!J26+'TRT 2009'!J29)</f>
        <v>47551.45</v>
      </c>
      <c r="K29" s="19">
        <f>SUM('R 2009'!K26+'TRT 2009'!K29)</f>
        <v>85309.69</v>
      </c>
      <c r="L29" s="19">
        <f>SUM('R 2009'!L26+'TRT 2009'!L29)</f>
        <v>79315.010000000009</v>
      </c>
      <c r="M29" s="19">
        <f>SUM('R 2009'!M26+'TRT 2009'!M29)</f>
        <v>47686.880000000005</v>
      </c>
      <c r="N29" s="81">
        <f t="shared" si="0"/>
        <v>658770.70000000007</v>
      </c>
      <c r="O29" s="19">
        <f>SUM('TOTAL 2008'!B29:M29)</f>
        <v>1339123.42</v>
      </c>
      <c r="P29" s="84">
        <f t="shared" si="1"/>
        <v>-0.50805826396494491</v>
      </c>
      <c r="Q29" s="22">
        <f t="shared" si="2"/>
        <v>9.0752041141309216E-3</v>
      </c>
    </row>
    <row r="30" spans="1:17">
      <c r="A30" s="92" t="s">
        <v>39</v>
      </c>
      <c r="B30" s="19">
        <f>SUM('R 2009'!B27+'CR 2009'!C12+'TRT 2009'!B30)</f>
        <v>270549.49</v>
      </c>
      <c r="C30" s="19">
        <f>SUM('R 2009'!C27+'CR 2009'!D12+'TRT 2009'!C30)</f>
        <v>345573.52</v>
      </c>
      <c r="D30" s="19">
        <f>SUM('R 2009'!D27+'CR 2009'!E12+'TRT 2009'!D30)</f>
        <v>263110.63</v>
      </c>
      <c r="E30" s="19">
        <f>SUM('R 2009'!E27+'CR 2009'!F12+'TRT 2009'!E30)</f>
        <v>37949.660000000003</v>
      </c>
      <c r="F30" s="19">
        <f>SUM('R 2009'!F27+'CR 2009'!G12+'TRT 2009'!F30)</f>
        <v>431569.22000000003</v>
      </c>
      <c r="G30" s="19">
        <f>SUM('R 2009'!G27+'CR 2009'!H12+'TRT 2009'!G30)</f>
        <v>552891.23</v>
      </c>
      <c r="H30" s="19">
        <f>SUM('R 2009'!H27+'CR 2009'!I12+'TRT 2009'!H30)</f>
        <v>430757.52</v>
      </c>
      <c r="I30" s="19">
        <f>SUM('R 2009'!I27+'CR 2009'!J12+'TRT 2009'!I30)</f>
        <v>549242.97</v>
      </c>
      <c r="J30" s="19">
        <f>SUM('R 2009'!J27+'CR 2009'!K12+'TRT 2009'!J30)</f>
        <v>400446.16000000003</v>
      </c>
      <c r="K30" s="19">
        <f>SUM('R 2009'!K27+'CR 2009'!L12+'TRT 2009'!K30)</f>
        <v>395383.99</v>
      </c>
      <c r="L30" s="19">
        <f>SUM('R 2009'!L27+'CR 2009'!M12+'TRT 2009'!L30)</f>
        <v>534294.30000000005</v>
      </c>
      <c r="M30" s="19">
        <f>SUM('R 2009'!M27+'CR 2009'!N12+'TRT 2009'!M30)</f>
        <v>504593.53</v>
      </c>
      <c r="N30" s="81">
        <f t="shared" si="0"/>
        <v>4716362.2200000007</v>
      </c>
      <c r="O30" s="19">
        <f>SUM('TOTAL 2008'!B30:M30)</f>
        <v>4781958.91</v>
      </c>
      <c r="P30" s="84">
        <f t="shared" si="1"/>
        <v>-1.3717535268407244E-2</v>
      </c>
      <c r="Q30" s="22">
        <f t="shared" si="2"/>
        <v>6.4972455245316238E-2</v>
      </c>
    </row>
    <row r="31" spans="1:17">
      <c r="A31" s="92" t="s">
        <v>40</v>
      </c>
      <c r="B31" s="19">
        <f>SUM('R 2009'!B28+'TRT 2009'!B31)</f>
        <v>3560.94</v>
      </c>
      <c r="C31" s="19">
        <f>SUM('R 2009'!C28+'TRT 2009'!C31)</f>
        <v>15362.470000000001</v>
      </c>
      <c r="D31" s="19">
        <f>SUM('R 2009'!D28+'TRT 2009'!D31)</f>
        <v>2944.86</v>
      </c>
      <c r="E31" s="19">
        <f>SUM('R 2009'!E28+'TRT 2009'!E31)</f>
        <v>7756.8600000000006</v>
      </c>
      <c r="F31" s="19">
        <f>SUM('R 2009'!F28+'TRT 2009'!F31)</f>
        <v>9071.31</v>
      </c>
      <c r="G31" s="19">
        <f>SUM('R 2009'!G28+'TRT 2009'!G31)</f>
        <v>11741.480000000001</v>
      </c>
      <c r="H31" s="19">
        <f>SUM('R 2009'!H28+'TRT 2009'!H31)</f>
        <v>18778.57</v>
      </c>
      <c r="I31" s="19">
        <f>SUM('R 2009'!I28+'TRT 2009'!I31)</f>
        <v>45274.53</v>
      </c>
      <c r="J31" s="19">
        <f>SUM('R 2009'!J28+'TRT 2009'!J31)</f>
        <v>15193.939999999999</v>
      </c>
      <c r="K31" s="19">
        <f>SUM('R 2009'!K28+'TRT 2009'!K31)</f>
        <v>29296.99</v>
      </c>
      <c r="L31" s="19">
        <f>SUM('R 2009'!L28+'TRT 2009'!L31)</f>
        <v>70227.72</v>
      </c>
      <c r="M31" s="19">
        <f>SUM('R 2009'!M28+'TRT 2009'!M31)</f>
        <v>12418.23</v>
      </c>
      <c r="N31" s="81">
        <f t="shared" si="0"/>
        <v>241627.90000000002</v>
      </c>
      <c r="O31" s="19">
        <f>SUM('TOTAL 2008'!B31:M31)</f>
        <v>252871.47000000003</v>
      </c>
      <c r="P31" s="84">
        <f t="shared" si="1"/>
        <v>-4.4463576693725138E-2</v>
      </c>
      <c r="Q31" s="22">
        <f t="shared" si="2"/>
        <v>3.3286582298951892E-3</v>
      </c>
    </row>
    <row r="32" spans="1:17" ht="13" thickBot="1">
      <c r="A32" s="93" t="s">
        <v>41</v>
      </c>
      <c r="B32" s="20">
        <f>SUM('R 2009'!B29+'CR 2009'!C13+'TRT 2009'!B32)</f>
        <v>224467.18000000002</v>
      </c>
      <c r="C32" s="20">
        <f>SUM('R 2009'!C29+'CR 2009'!D13+'TRT 2009'!C32)</f>
        <v>332343.67999999993</v>
      </c>
      <c r="D32" s="20">
        <f>SUM('R 2009'!D29+'CR 2009'!E13+'TRT 2009'!D32)</f>
        <v>262551.25</v>
      </c>
      <c r="E32" s="20">
        <f>SUM('R 2009'!E29+'CR 2009'!F13+'TRT 2009'!E32)</f>
        <v>248648.73</v>
      </c>
      <c r="F32" s="20">
        <f>SUM('R 2009'!F29+'CR 2009'!G13+'TRT 2009'!F32)</f>
        <v>303947.95</v>
      </c>
      <c r="G32" s="20">
        <f>SUM('R 2009'!G29+'CR 2009'!H13+'TRT 2009'!G32)</f>
        <v>312597.01</v>
      </c>
      <c r="H32" s="20">
        <f>SUM('R 2009'!H29+'CR 2009'!I13+'TRT 2009'!H32)</f>
        <v>247947.34</v>
      </c>
      <c r="I32" s="20">
        <f>SUM('R 2009'!I29+'CR 2009'!J13+'TRT 2009'!I32)</f>
        <v>408537</v>
      </c>
      <c r="J32" s="20">
        <f>SUM('R 2009'!J29+'CR 2009'!K13+'TRT 2009'!J32)</f>
        <v>312289.93</v>
      </c>
      <c r="K32" s="20">
        <f>SUM('R 2009'!K29+'CR 2009'!L13+'TRT 2009'!K32)</f>
        <v>281416.62</v>
      </c>
      <c r="L32" s="20">
        <f>SUM('R 2009'!L29+'CR 2009'!M13+'TRT 2009'!L32)</f>
        <v>346752.08999999997</v>
      </c>
      <c r="M32" s="20">
        <f>SUM('R 2009'!M29+'CR 2009'!N13+'TRT 2009'!M32)</f>
        <v>264699.43999999994</v>
      </c>
      <c r="N32" s="82">
        <f t="shared" si="0"/>
        <v>3546198.22</v>
      </c>
      <c r="O32" s="19">
        <f>SUM('TOTAL 2008'!B32:M32)</f>
        <v>3681497.6600000006</v>
      </c>
      <c r="P32" s="85">
        <f t="shared" si="1"/>
        <v>-3.6751195436044437E-2</v>
      </c>
      <c r="Q32" s="21">
        <f t="shared" si="2"/>
        <v>4.8852313370445509E-2</v>
      </c>
    </row>
    <row r="33" spans="1:17" s="154" customFormat="1" ht="14" thickTop="1" thickBot="1">
      <c r="A33" s="162" t="s">
        <v>54</v>
      </c>
      <c r="B33" s="163">
        <f t="shared" ref="B33:O33" si="3">SUM(B4:B32)</f>
        <v>4066105.5300000003</v>
      </c>
      <c r="C33" s="164">
        <f t="shared" si="3"/>
        <v>6411255.8099999996</v>
      </c>
      <c r="D33" s="163">
        <f t="shared" si="3"/>
        <v>6058416.0200000014</v>
      </c>
      <c r="E33" s="163">
        <f t="shared" si="3"/>
        <v>5899117.3399999999</v>
      </c>
      <c r="F33" s="163">
        <f t="shared" si="3"/>
        <v>7155828.669999999</v>
      </c>
      <c r="G33" s="163">
        <f t="shared" si="3"/>
        <v>5653033.3100000005</v>
      </c>
      <c r="H33" s="165">
        <f t="shared" si="3"/>
        <v>5214498.9300000016</v>
      </c>
      <c r="I33" s="163">
        <f t="shared" si="3"/>
        <v>7042467.1200000001</v>
      </c>
      <c r="J33" s="163">
        <f t="shared" si="3"/>
        <v>6353027.4300000006</v>
      </c>
      <c r="K33" s="163">
        <f t="shared" si="3"/>
        <v>6495562.6100000013</v>
      </c>
      <c r="L33" s="163">
        <f t="shared" si="3"/>
        <v>6931229.3399999999</v>
      </c>
      <c r="M33" s="166">
        <f t="shared" si="3"/>
        <v>5309637.870000001</v>
      </c>
      <c r="N33" s="167">
        <f t="shared" si="3"/>
        <v>72590179.980000004</v>
      </c>
      <c r="O33" s="168">
        <f t="shared" si="3"/>
        <v>81171649.963</v>
      </c>
      <c r="P33" s="169">
        <f t="shared" si="1"/>
        <v>-0.10572003879324421</v>
      </c>
      <c r="Q33" s="170">
        <f t="shared" si="2"/>
        <v>1</v>
      </c>
    </row>
    <row r="34" spans="1:17">
      <c r="B34" s="28">
        <f>B33/'TOTAL 2008'!B33-1</f>
        <v>-0.15820223370395015</v>
      </c>
      <c r="C34" s="28">
        <f>C33/'TOTAL 2008'!C33-1</f>
        <v>-8.9884050048349873E-2</v>
      </c>
      <c r="D34" s="28">
        <f>D33/'TOTAL 2008'!D33-1</f>
        <v>-0.12692064612319187</v>
      </c>
      <c r="E34" s="28">
        <f>E33/'TOTAL 2008'!E33-1</f>
        <v>-0.13290090138280952</v>
      </c>
      <c r="F34" s="28">
        <f>F33/'TOTAL 2008'!F33-1</f>
        <v>-0.22271524803701404</v>
      </c>
      <c r="G34" s="28">
        <f>G33/'TOTAL 2008'!G33-1</f>
        <v>-1.8214021576312245E-2</v>
      </c>
      <c r="H34" s="28">
        <f>H33/'TOTAL 2008'!H33-1</f>
        <v>-0.23998475882364845</v>
      </c>
      <c r="I34" s="28">
        <f>I33/'TOTAL 2008'!I33-1</f>
        <v>-7.5649945255579776E-2</v>
      </c>
      <c r="J34" s="28">
        <f>J33/'TOTAL 2008'!J33-1</f>
        <v>-2.4069356641170048E-2</v>
      </c>
      <c r="K34" s="28">
        <f>K33/'TOTAL 2008'!K33-1</f>
        <v>-3.4249875016069797E-2</v>
      </c>
      <c r="L34" s="28">
        <f>L33/'TOTAL 2008'!L33-1</f>
        <v>-0.10688799551179118</v>
      </c>
      <c r="M34" s="28"/>
      <c r="N34" s="28"/>
    </row>
    <row r="37" spans="1:17">
      <c r="I37" s="100"/>
      <c r="J37" s="121"/>
    </row>
    <row r="38" spans="1:17">
      <c r="J38" s="121"/>
    </row>
  </sheetData>
  <mergeCells count="1">
    <mergeCell ref="A1:Q1"/>
  </mergeCells>
  <phoneticPr fontId="0" type="noConversion"/>
  <pageMargins left="0" right="0" top="1" bottom="1" header="0.5" footer="0.5"/>
  <pageSetup scale="87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 enableFormatConditionsCalculation="0">
    <tabColor rgb="FF7030A0"/>
    <pageSetUpPr fitToPage="1"/>
  </sheetPr>
  <dimension ref="A1:P38"/>
  <sheetViews>
    <sheetView workbookViewId="0">
      <selection activeCell="H50" sqref="H50"/>
    </sheetView>
  </sheetViews>
  <sheetFormatPr baseColWidth="10" defaultColWidth="8.83203125" defaultRowHeight="12" x14ac:dyDescent="0"/>
  <cols>
    <col min="3" max="3" width="11.1640625" bestFit="1" customWidth="1"/>
    <col min="5" max="5" width="11.1640625" bestFit="1" customWidth="1"/>
    <col min="14" max="14" width="12" bestFit="1" customWidth="1"/>
    <col min="15" max="15" width="9.5" bestFit="1" customWidth="1"/>
  </cols>
  <sheetData>
    <row r="1" spans="1:16" ht="23">
      <c r="A1" s="711" t="s">
        <v>300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</row>
    <row r="2" spans="1:16" ht="13" thickBot="1"/>
    <row r="3" spans="1:16" ht="13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252" t="s">
        <v>13</v>
      </c>
      <c r="N3" s="335" t="s">
        <v>92</v>
      </c>
      <c r="O3" s="336" t="s">
        <v>87</v>
      </c>
      <c r="P3" s="253" t="s">
        <v>16</v>
      </c>
    </row>
    <row r="4" spans="1:16">
      <c r="A4" s="267" t="s">
        <v>176</v>
      </c>
      <c r="B4" s="19">
        <v>20315.060000000001</v>
      </c>
      <c r="C4" s="19">
        <v>36614.730000000003</v>
      </c>
      <c r="D4" s="19">
        <v>18465.03</v>
      </c>
      <c r="E4" s="19">
        <v>17841.52</v>
      </c>
      <c r="F4" s="19">
        <v>31127.439999999999</v>
      </c>
      <c r="G4" s="19">
        <v>25575.62</v>
      </c>
      <c r="H4" s="19">
        <v>27973.56</v>
      </c>
      <c r="I4" s="19">
        <v>49975.5</v>
      </c>
      <c r="J4" s="19">
        <v>43922.65</v>
      </c>
      <c r="K4" s="19">
        <v>23477.01</v>
      </c>
      <c r="L4" s="19">
        <v>53113.82</v>
      </c>
      <c r="M4" s="99">
        <v>30681.37</v>
      </c>
      <c r="N4" s="337">
        <f t="shared" ref="N4:N20" si="0">SUM(B4:M4)</f>
        <v>379083.31000000006</v>
      </c>
      <c r="O4" s="69">
        <f>SUM('RC 2007'!B4:M4)</f>
        <v>341055.44</v>
      </c>
      <c r="P4" s="22">
        <f>N4/O4-1</f>
        <v>0.11150055252014179</v>
      </c>
    </row>
    <row r="5" spans="1:16">
      <c r="A5" s="267" t="s">
        <v>282</v>
      </c>
      <c r="B5" s="19">
        <v>2271.6999999999998</v>
      </c>
      <c r="C5" s="19">
        <v>2233.96</v>
      </c>
      <c r="D5" s="19">
        <v>638.75</v>
      </c>
      <c r="E5" s="19">
        <v>1397.97</v>
      </c>
      <c r="F5" s="19">
        <v>4600.3500000000004</v>
      </c>
      <c r="G5" s="19">
        <v>1403.57</v>
      </c>
      <c r="H5" s="19">
        <v>4267.97</v>
      </c>
      <c r="I5" s="19">
        <v>4650.49</v>
      </c>
      <c r="J5" s="19">
        <v>2901.55</v>
      </c>
      <c r="K5" s="19">
        <v>3543.96</v>
      </c>
      <c r="L5" s="19">
        <v>5240.9799999999996</v>
      </c>
      <c r="M5" s="99">
        <v>3044.31</v>
      </c>
      <c r="N5" s="337">
        <f t="shared" si="0"/>
        <v>36195.56</v>
      </c>
      <c r="O5" s="69">
        <f>SUM('RC 2007'!B5:M5)</f>
        <v>39794.14</v>
      </c>
      <c r="P5" s="338">
        <f t="shared" ref="P5:P21" si="1">N5/O5-1</f>
        <v>-9.0429897467315556E-2</v>
      </c>
    </row>
    <row r="6" spans="1:16">
      <c r="A6" s="267" t="s">
        <v>283</v>
      </c>
      <c r="B6" s="19"/>
      <c r="C6" s="19"/>
      <c r="D6" s="19">
        <v>3885.68</v>
      </c>
      <c r="E6" s="19">
        <v>5397.91</v>
      </c>
      <c r="F6" s="19">
        <v>12806.75</v>
      </c>
      <c r="G6" s="19">
        <v>20538.146000000001</v>
      </c>
      <c r="H6" s="19">
        <v>35769.300000000003</v>
      </c>
      <c r="I6" s="19">
        <v>43043.13</v>
      </c>
      <c r="J6" s="19">
        <v>45768.74</v>
      </c>
      <c r="K6" s="19">
        <v>43410.99</v>
      </c>
      <c r="L6" s="19">
        <v>42247.32</v>
      </c>
      <c r="M6" s="99">
        <v>28935.33</v>
      </c>
      <c r="N6" s="337">
        <f t="shared" si="0"/>
        <v>281803.29599999997</v>
      </c>
      <c r="O6" s="69"/>
      <c r="P6" s="22"/>
    </row>
    <row r="7" spans="1:16">
      <c r="A7" s="267" t="s">
        <v>284</v>
      </c>
      <c r="B7" s="19">
        <v>9679.5</v>
      </c>
      <c r="C7" s="19">
        <v>23922.46</v>
      </c>
      <c r="D7" s="19">
        <v>5841.92</v>
      </c>
      <c r="E7" s="19">
        <v>9379.98</v>
      </c>
      <c r="F7" s="19">
        <v>16890.02</v>
      </c>
      <c r="G7" s="19">
        <v>11047.84</v>
      </c>
      <c r="H7" s="19">
        <v>19803.64</v>
      </c>
      <c r="I7" s="19">
        <v>29346.67</v>
      </c>
      <c r="J7" s="19">
        <v>12776.52</v>
      </c>
      <c r="K7" s="19">
        <v>20563.169999999998</v>
      </c>
      <c r="L7" s="19">
        <v>32578.400000000001</v>
      </c>
      <c r="M7" s="99">
        <v>10106.450000000001</v>
      </c>
      <c r="N7" s="337">
        <f t="shared" si="0"/>
        <v>201936.56999999998</v>
      </c>
      <c r="O7" s="69">
        <f>SUM('RC 2007'!B6:M6)</f>
        <v>171608.01</v>
      </c>
      <c r="P7" s="22">
        <f t="shared" si="1"/>
        <v>0.17673161060488951</v>
      </c>
    </row>
    <row r="8" spans="1:16">
      <c r="A8" s="267" t="s">
        <v>285</v>
      </c>
      <c r="B8" s="19">
        <v>2417.0700000000002</v>
      </c>
      <c r="C8" s="19">
        <v>4353.8900000000003</v>
      </c>
      <c r="D8" s="19">
        <v>1461.59</v>
      </c>
      <c r="E8" s="19">
        <v>3365.57</v>
      </c>
      <c r="F8" s="19">
        <v>4421.84</v>
      </c>
      <c r="G8" s="19">
        <v>2751.01</v>
      </c>
      <c r="H8" s="19">
        <v>6005.46</v>
      </c>
      <c r="I8" s="19">
        <v>12173.25</v>
      </c>
      <c r="J8" s="19">
        <v>5354.1</v>
      </c>
      <c r="K8" s="19">
        <v>18248.580000000002</v>
      </c>
      <c r="L8" s="19">
        <v>10610.57</v>
      </c>
      <c r="M8" s="99">
        <v>4370.3500000000004</v>
      </c>
      <c r="N8" s="337">
        <f t="shared" si="0"/>
        <v>75533.279999999999</v>
      </c>
      <c r="O8" s="69">
        <f>SUM('RC 2007'!B7:M7)</f>
        <v>58240.43</v>
      </c>
      <c r="P8" s="22">
        <f t="shared" si="1"/>
        <v>0.29692174319454723</v>
      </c>
    </row>
    <row r="9" spans="1:16">
      <c r="A9" s="267" t="s">
        <v>180</v>
      </c>
      <c r="B9" s="19">
        <v>127761.55</v>
      </c>
      <c r="C9" s="19">
        <v>193190.08</v>
      </c>
      <c r="D9" s="19">
        <v>86521.33</v>
      </c>
      <c r="E9" s="19">
        <v>107020.57</v>
      </c>
      <c r="F9" s="19">
        <v>228959.87</v>
      </c>
      <c r="G9" s="19">
        <v>185656.73</v>
      </c>
      <c r="H9" s="19">
        <v>230333.36</v>
      </c>
      <c r="I9" s="19">
        <v>330014.24</v>
      </c>
      <c r="J9" s="19">
        <v>194945.82</v>
      </c>
      <c r="K9" s="19">
        <v>204313.95</v>
      </c>
      <c r="L9" s="19">
        <v>323985.63</v>
      </c>
      <c r="M9" s="99">
        <v>171299.65</v>
      </c>
      <c r="N9" s="337">
        <f t="shared" si="0"/>
        <v>2384002.7799999998</v>
      </c>
      <c r="O9" s="69">
        <f>SUM('RC 2007'!B8:M8)</f>
        <v>2321737.09</v>
      </c>
      <c r="P9" s="22">
        <f t="shared" si="1"/>
        <v>2.6818579187189551E-2</v>
      </c>
    </row>
    <row r="10" spans="1:16">
      <c r="A10" s="267" t="s">
        <v>262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N10" s="337">
        <f t="shared" si="0"/>
        <v>0</v>
      </c>
      <c r="O10" s="69"/>
      <c r="P10" s="22"/>
    </row>
    <row r="11" spans="1:16">
      <c r="A11" s="267" t="s">
        <v>183</v>
      </c>
      <c r="B11" s="19">
        <v>5964.31</v>
      </c>
      <c r="C11" s="19">
        <v>53012.71</v>
      </c>
      <c r="D11" s="19">
        <v>47478.48</v>
      </c>
      <c r="E11" s="19">
        <v>35843.26</v>
      </c>
      <c r="F11" s="19">
        <v>51874.96</v>
      </c>
      <c r="G11" s="19">
        <v>11862.35</v>
      </c>
      <c r="H11" s="19">
        <v>8594.23</v>
      </c>
      <c r="I11" s="19">
        <v>5553.98</v>
      </c>
      <c r="J11" s="19">
        <v>7418.39</v>
      </c>
      <c r="K11" s="19">
        <v>4631.12</v>
      </c>
      <c r="L11" s="19">
        <v>10169.799999999999</v>
      </c>
      <c r="M11" s="99">
        <v>3271.83</v>
      </c>
      <c r="N11" s="337">
        <f t="shared" si="0"/>
        <v>245675.42</v>
      </c>
      <c r="O11" s="69">
        <f>SUM('RC 2007'!B10:M10)</f>
        <v>226984.93000000002</v>
      </c>
      <c r="P11" s="22">
        <f t="shared" si="1"/>
        <v>8.2342426873889707E-2</v>
      </c>
    </row>
    <row r="12" spans="1:16">
      <c r="A12" s="267" t="s">
        <v>188</v>
      </c>
      <c r="B12" s="19">
        <v>36272.730000000003</v>
      </c>
      <c r="C12" s="19">
        <v>65327.21</v>
      </c>
      <c r="D12" s="19">
        <v>24555.73</v>
      </c>
      <c r="E12" s="19">
        <v>30988.65</v>
      </c>
      <c r="F12" s="19">
        <v>57440.4</v>
      </c>
      <c r="G12" s="19">
        <v>31996.2</v>
      </c>
      <c r="H12" s="19">
        <v>49483.27</v>
      </c>
      <c r="I12" s="19">
        <v>74908.320000000007</v>
      </c>
      <c r="J12" s="19">
        <v>44816.28</v>
      </c>
      <c r="K12" s="19">
        <v>53446.41</v>
      </c>
      <c r="L12" s="19">
        <v>76145.59</v>
      </c>
      <c r="M12" s="99">
        <v>40230.82</v>
      </c>
      <c r="N12" s="337">
        <f t="shared" si="0"/>
        <v>585611.61</v>
      </c>
      <c r="O12" s="69">
        <f>SUM('RC 2007'!B11:M11)</f>
        <v>610752.73</v>
      </c>
      <c r="P12" s="338">
        <f t="shared" si="1"/>
        <v>-4.1164154927314067E-2</v>
      </c>
    </row>
    <row r="13" spans="1:16">
      <c r="A13" s="267" t="s">
        <v>286</v>
      </c>
      <c r="B13" s="19">
        <v>4382.16</v>
      </c>
      <c r="C13" s="19">
        <v>5285.25</v>
      </c>
      <c r="D13" s="19">
        <v>1769.37</v>
      </c>
      <c r="E13" s="19">
        <v>2175.36</v>
      </c>
      <c r="F13" s="19">
        <v>4913.59</v>
      </c>
      <c r="G13" s="19">
        <v>4338.2</v>
      </c>
      <c r="H13" s="19">
        <v>7197.76</v>
      </c>
      <c r="I13" s="19">
        <v>10655.93</v>
      </c>
      <c r="J13" s="19">
        <v>8114.66</v>
      </c>
      <c r="K13" s="19">
        <v>8680.24</v>
      </c>
      <c r="L13" s="19">
        <v>12580.7</v>
      </c>
      <c r="M13" s="99">
        <v>6445.88</v>
      </c>
      <c r="N13" s="337">
        <f t="shared" si="0"/>
        <v>76539.100000000006</v>
      </c>
      <c r="O13" s="69">
        <f>SUM('RC 2007'!B12:M12)</f>
        <v>76992.160000000003</v>
      </c>
      <c r="P13" s="338">
        <f t="shared" si="1"/>
        <v>-5.8844952525035632E-3</v>
      </c>
    </row>
    <row r="14" spans="1:16">
      <c r="A14" s="267" t="s">
        <v>287</v>
      </c>
      <c r="B14" s="19">
        <v>6076.77</v>
      </c>
      <c r="C14" s="19">
        <v>11138.88</v>
      </c>
      <c r="D14" s="19">
        <v>3063.5</v>
      </c>
      <c r="E14" s="19">
        <v>2890.97</v>
      </c>
      <c r="F14" s="19">
        <v>8603.36</v>
      </c>
      <c r="G14" s="19">
        <v>4847.78</v>
      </c>
      <c r="H14" s="19">
        <v>5325.05</v>
      </c>
      <c r="I14" s="19">
        <v>24990.62</v>
      </c>
      <c r="J14" s="19">
        <v>15716.5</v>
      </c>
      <c r="K14" s="19">
        <v>19572.36</v>
      </c>
      <c r="L14" s="19">
        <v>29005.23</v>
      </c>
      <c r="M14" s="99">
        <v>5919.32</v>
      </c>
      <c r="N14" s="337">
        <f t="shared" si="0"/>
        <v>137150.34000000003</v>
      </c>
      <c r="O14" s="69">
        <f>SUM('RC 2007'!B13:M13)</f>
        <v>165478.59999999998</v>
      </c>
      <c r="P14" s="338">
        <f t="shared" si="1"/>
        <v>-0.17118986986836937</v>
      </c>
    </row>
    <row r="15" spans="1:16">
      <c r="A15" s="267" t="s">
        <v>288</v>
      </c>
      <c r="B15" s="19">
        <v>16752.2</v>
      </c>
      <c r="C15" s="19">
        <v>102698.73</v>
      </c>
      <c r="D15" s="19">
        <v>131052.95</v>
      </c>
      <c r="E15" s="19">
        <v>167997.68</v>
      </c>
      <c r="F15" s="19">
        <v>179915.63</v>
      </c>
      <c r="G15" s="19">
        <v>35849.93</v>
      </c>
      <c r="H15" s="19">
        <v>71797.86</v>
      </c>
      <c r="I15" s="19">
        <v>329.65</v>
      </c>
      <c r="J15" s="19">
        <v>24787.65</v>
      </c>
      <c r="K15" s="19">
        <v>8781.34</v>
      </c>
      <c r="L15" s="19">
        <v>33269.769999999997</v>
      </c>
      <c r="M15" s="99">
        <v>10986.89</v>
      </c>
      <c r="N15" s="337">
        <f t="shared" si="0"/>
        <v>784220.28</v>
      </c>
      <c r="O15" s="69">
        <f>SUM('RC 2007'!B14:M14)</f>
        <v>638308.56999999995</v>
      </c>
      <c r="P15" s="22">
        <f t="shared" si="1"/>
        <v>0.22859118122133326</v>
      </c>
    </row>
    <row r="16" spans="1:16">
      <c r="A16" s="267" t="s">
        <v>209</v>
      </c>
      <c r="B16" s="19">
        <v>4824.5</v>
      </c>
      <c r="C16" s="19">
        <v>15993.88</v>
      </c>
      <c r="D16" s="19">
        <v>3946.8</v>
      </c>
      <c r="E16" s="19">
        <v>4862.75</v>
      </c>
      <c r="F16" s="19">
        <v>11042.6</v>
      </c>
      <c r="G16" s="19">
        <v>4675.57</v>
      </c>
      <c r="H16" s="19">
        <v>9385.02</v>
      </c>
      <c r="I16" s="19">
        <v>13972.81</v>
      </c>
      <c r="J16" s="19"/>
      <c r="K16" s="19">
        <v>926.31</v>
      </c>
      <c r="L16" s="19">
        <v>495.66</v>
      </c>
      <c r="M16" s="99">
        <v>251.05</v>
      </c>
      <c r="N16" s="337">
        <f t="shared" si="0"/>
        <v>70376.95</v>
      </c>
      <c r="O16" s="69">
        <f>SUM('RC 2007'!B15:M15)</f>
        <v>95320.49</v>
      </c>
      <c r="P16" s="338">
        <f t="shared" si="1"/>
        <v>-0.26168077818315882</v>
      </c>
    </row>
    <row r="17" spans="1:16">
      <c r="A17" s="267" t="s">
        <v>289</v>
      </c>
      <c r="B17" s="19">
        <v>328790.21999999997</v>
      </c>
      <c r="C17" s="19">
        <v>845252.62</v>
      </c>
      <c r="D17" s="19">
        <v>1045266.46</v>
      </c>
      <c r="E17" s="19">
        <v>1024340.26</v>
      </c>
      <c r="F17" s="19">
        <v>1183524.01</v>
      </c>
      <c r="G17" s="19">
        <v>313239.78999999998</v>
      </c>
      <c r="H17" s="19">
        <v>266600.03999999998</v>
      </c>
      <c r="I17" s="19">
        <v>347787.23</v>
      </c>
      <c r="J17" s="19">
        <v>350826</v>
      </c>
      <c r="K17" s="19">
        <v>331542.3</v>
      </c>
      <c r="L17" s="19">
        <v>391418.26</v>
      </c>
      <c r="M17" s="99">
        <v>293393.01</v>
      </c>
      <c r="N17" s="337">
        <f t="shared" si="0"/>
        <v>6721980.1999999983</v>
      </c>
      <c r="O17" s="69">
        <f>SUM('RC 2007'!B16:M16)</f>
        <v>6418293.5399999991</v>
      </c>
      <c r="P17" s="22">
        <f t="shared" si="1"/>
        <v>4.7315794783670651E-2</v>
      </c>
    </row>
    <row r="18" spans="1:16">
      <c r="A18" s="267" t="s">
        <v>230</v>
      </c>
      <c r="B18" s="19">
        <v>34144.269999999997</v>
      </c>
      <c r="C18" s="19">
        <v>43152.89</v>
      </c>
      <c r="D18" s="19">
        <v>28764.23</v>
      </c>
      <c r="E18" s="19">
        <v>32511.29</v>
      </c>
      <c r="F18" s="19">
        <v>50317.01</v>
      </c>
      <c r="G18" s="19">
        <v>17646.14</v>
      </c>
      <c r="H18" s="19">
        <v>27414.46</v>
      </c>
      <c r="I18" s="19">
        <v>47011.31</v>
      </c>
      <c r="J18" s="19">
        <v>32516.26</v>
      </c>
      <c r="K18" s="19">
        <v>54880.06</v>
      </c>
      <c r="L18" s="19">
        <v>45309.34</v>
      </c>
      <c r="M18" s="99">
        <v>18483.91</v>
      </c>
      <c r="N18" s="337">
        <f t="shared" si="0"/>
        <v>432151.17</v>
      </c>
      <c r="O18" s="69">
        <f>SUM('RC 2007'!B17:M17)</f>
        <v>331789.71000000002</v>
      </c>
      <c r="P18" s="22">
        <f t="shared" si="1"/>
        <v>0.30248514940381943</v>
      </c>
    </row>
    <row r="19" spans="1:16">
      <c r="A19" s="267" t="s">
        <v>291</v>
      </c>
      <c r="B19" s="19">
        <v>6956.01</v>
      </c>
      <c r="C19" s="19">
        <v>10635.43</v>
      </c>
      <c r="D19" s="19"/>
      <c r="E19" s="19"/>
      <c r="F19" s="19"/>
      <c r="G19" s="19">
        <v>0</v>
      </c>
      <c r="H19" s="19"/>
      <c r="I19" s="19"/>
      <c r="J19" s="19"/>
      <c r="K19" s="19"/>
      <c r="L19" s="19"/>
      <c r="M19" s="99"/>
      <c r="N19" s="337">
        <f t="shared" si="0"/>
        <v>17591.440000000002</v>
      </c>
      <c r="O19" s="69">
        <f>SUM('RC 2007'!B18:M18)</f>
        <v>80439.11</v>
      </c>
      <c r="P19" s="22"/>
    </row>
    <row r="20" spans="1:16">
      <c r="A20" s="267" t="s">
        <v>238</v>
      </c>
      <c r="B20" s="19">
        <v>22655.68</v>
      </c>
      <c r="C20" s="19">
        <v>42755.322999999997</v>
      </c>
      <c r="D20" s="19">
        <v>10392.709999999999</v>
      </c>
      <c r="E20" s="19">
        <v>18047.25</v>
      </c>
      <c r="F20" s="19">
        <v>52869.75</v>
      </c>
      <c r="G20" s="19">
        <v>44854.13</v>
      </c>
      <c r="H20" s="19">
        <v>67311.22</v>
      </c>
      <c r="I20" s="19">
        <v>113063.12</v>
      </c>
      <c r="J20" s="19">
        <v>53055.57</v>
      </c>
      <c r="K20" s="19">
        <v>53373.09</v>
      </c>
      <c r="L20" s="19">
        <v>119257.37</v>
      </c>
      <c r="M20" s="99">
        <v>57469.01</v>
      </c>
      <c r="N20" s="337">
        <f t="shared" si="0"/>
        <v>655104.223</v>
      </c>
      <c r="O20" s="69">
        <f>SUM('RC 2007'!B19:M19)</f>
        <v>613802.93999999994</v>
      </c>
      <c r="P20" s="22">
        <f t="shared" si="1"/>
        <v>6.7287528795479723E-2</v>
      </c>
    </row>
    <row r="21" spans="1:16" ht="13" thickBot="1">
      <c r="A21" s="275" t="s">
        <v>54</v>
      </c>
      <c r="B21" s="306">
        <f t="shared" ref="B21:N21" si="2">SUM(B4:B20)</f>
        <v>629263.7300000001</v>
      </c>
      <c r="C21" s="306">
        <f t="shared" si="2"/>
        <v>1455568.0429999998</v>
      </c>
      <c r="D21" s="306">
        <f t="shared" si="2"/>
        <v>1413104.5299999998</v>
      </c>
      <c r="E21" s="306">
        <f t="shared" si="2"/>
        <v>1464060.99</v>
      </c>
      <c r="F21" s="306">
        <f t="shared" si="2"/>
        <v>1899307.58</v>
      </c>
      <c r="G21" s="306">
        <f t="shared" si="2"/>
        <v>716283.00600000005</v>
      </c>
      <c r="H21" s="306">
        <f t="shared" si="2"/>
        <v>837262.2</v>
      </c>
      <c r="I21" s="306">
        <f t="shared" si="2"/>
        <v>1107476.25</v>
      </c>
      <c r="J21" s="306">
        <f t="shared" si="2"/>
        <v>842920.69000000006</v>
      </c>
      <c r="K21" s="306">
        <f t="shared" si="2"/>
        <v>849390.89</v>
      </c>
      <c r="L21" s="306">
        <f t="shared" si="2"/>
        <v>1185428.44</v>
      </c>
      <c r="M21" s="339">
        <f t="shared" si="2"/>
        <v>684889.18</v>
      </c>
      <c r="N21" s="340">
        <f t="shared" si="2"/>
        <v>13084955.528999997</v>
      </c>
      <c r="O21" s="341">
        <f>SUM(O4:O20)</f>
        <v>12190597.889999999</v>
      </c>
      <c r="P21" s="274">
        <f t="shared" si="1"/>
        <v>7.336454266395287E-2</v>
      </c>
    </row>
    <row r="22" spans="1:16">
      <c r="A22" s="276" t="s">
        <v>265</v>
      </c>
      <c r="B22" s="320">
        <f>B21/'RC 2007'!B21-1</f>
        <v>0.15238821821795479</v>
      </c>
      <c r="C22" s="320">
        <f>C21/'RC 2007'!C21-1</f>
        <v>1.5959827831929951E-2</v>
      </c>
      <c r="D22" s="320">
        <f>D21/'RC 2007'!D21-1</f>
        <v>6.3134128020349012E-2</v>
      </c>
      <c r="E22" s="320">
        <f>E21/'RC 2007'!E21-1</f>
        <v>0.18926223307922152</v>
      </c>
      <c r="F22" s="320">
        <f>F21/'RC 2007'!F21-1</f>
        <v>0.14249789478173569</v>
      </c>
      <c r="G22" s="320">
        <f>G21/'RC 2007'!G21-1</f>
        <v>-6.4010051696410053E-2</v>
      </c>
      <c r="H22" s="320">
        <f>H21/'RC 2007'!H21-1</f>
        <v>0.21620310163659417</v>
      </c>
      <c r="I22" s="320">
        <f>I21/'RC 2007'!I21-1</f>
        <v>2.3148267479512041E-2</v>
      </c>
      <c r="J22" s="320">
        <f>J21/'RC 2007'!J21-1</f>
        <v>0.15204138937510181</v>
      </c>
      <c r="K22" s="320">
        <f>K21/'RC 2007'!K21-1</f>
        <v>4.4306127793187766E-2</v>
      </c>
      <c r="L22" s="320">
        <f>L21/'RC 2007'!L21-1</f>
        <v>-6.3555331883661803E-2</v>
      </c>
      <c r="M22" s="320">
        <f>M21/'RC 2007'!M21-1</f>
        <v>6.6556380907887736E-2</v>
      </c>
      <c r="N22" s="333"/>
      <c r="O22" s="323"/>
      <c r="P22" s="1"/>
    </row>
    <row r="26" spans="1:16">
      <c r="A26" s="287" t="s">
        <v>301</v>
      </c>
    </row>
    <row r="27" spans="1:16">
      <c r="A27" s="287" t="s">
        <v>302</v>
      </c>
    </row>
    <row r="32" spans="1:16">
      <c r="B32" s="100"/>
      <c r="C32" s="100"/>
      <c r="D32" s="100"/>
      <c r="E32" s="100"/>
    </row>
    <row r="33" spans="2:5">
      <c r="B33" s="100"/>
      <c r="C33" s="100"/>
      <c r="D33" s="100"/>
      <c r="E33" s="100"/>
    </row>
    <row r="34" spans="2:5">
      <c r="B34" s="100"/>
      <c r="C34" s="100"/>
      <c r="D34" s="100"/>
      <c r="E34" s="100"/>
    </row>
    <row r="35" spans="2:5">
      <c r="B35" s="100"/>
      <c r="C35" s="100"/>
      <c r="D35" s="100"/>
      <c r="E35" s="100"/>
    </row>
    <row r="36" spans="2:5">
      <c r="B36" s="100"/>
      <c r="C36" s="100"/>
      <c r="D36" s="100"/>
      <c r="E36" s="100"/>
    </row>
    <row r="37" spans="2:5">
      <c r="B37" s="100"/>
      <c r="C37" s="100"/>
      <c r="D37" s="100"/>
      <c r="E37" s="100"/>
    </row>
    <row r="38" spans="2:5">
      <c r="B38" s="100"/>
      <c r="C38" s="100"/>
      <c r="D38" s="121"/>
      <c r="E38" s="100"/>
    </row>
  </sheetData>
  <mergeCells count="1">
    <mergeCell ref="A1:P1"/>
  </mergeCells>
  <printOptions horizontalCentered="1"/>
  <pageMargins left="0" right="0" top="1" bottom="1" header="0.5" footer="0.5"/>
  <pageSetup scale="8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 enableFormatConditionsCalculation="0">
    <tabColor rgb="FF7030A0"/>
  </sheetPr>
  <dimension ref="A1:P29"/>
  <sheetViews>
    <sheetView workbookViewId="0">
      <selection activeCell="H50" sqref="H50"/>
    </sheetView>
  </sheetViews>
  <sheetFormatPr baseColWidth="10" defaultColWidth="8.83203125" defaultRowHeight="12" x14ac:dyDescent="0"/>
  <cols>
    <col min="5" max="5" width="11.1640625" bestFit="1" customWidth="1"/>
    <col min="14" max="15" width="9.5" bestFit="1" customWidth="1"/>
  </cols>
  <sheetData>
    <row r="1" spans="1:16" ht="23">
      <c r="A1" s="711" t="s">
        <v>303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</row>
    <row r="2" spans="1:16" ht="13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310" t="s">
        <v>13</v>
      </c>
      <c r="N3" s="311" t="s">
        <v>87</v>
      </c>
      <c r="O3" s="251" t="s">
        <v>79</v>
      </c>
      <c r="P3" s="253" t="s">
        <v>16</v>
      </c>
    </row>
    <row r="4" spans="1:16">
      <c r="A4" s="267" t="s">
        <v>176</v>
      </c>
      <c r="B4" s="19">
        <v>16437.28</v>
      </c>
      <c r="C4" s="19">
        <v>29353.45</v>
      </c>
      <c r="D4" s="19">
        <v>16925.82</v>
      </c>
      <c r="E4" s="19">
        <v>15210.87</v>
      </c>
      <c r="F4" s="19">
        <v>32410.19</v>
      </c>
      <c r="G4" s="19">
        <v>23959.39</v>
      </c>
      <c r="H4" s="19">
        <v>23837.35</v>
      </c>
      <c r="I4" s="19">
        <v>46781</v>
      </c>
      <c r="J4" s="19">
        <v>30489.35</v>
      </c>
      <c r="K4" s="19">
        <v>30235.69</v>
      </c>
      <c r="L4" s="19">
        <v>50943.05</v>
      </c>
      <c r="M4" s="51">
        <v>24472</v>
      </c>
      <c r="N4" s="342">
        <f t="shared" ref="N4:N19" si="0">SUM(B4:M4)</f>
        <v>341055.44</v>
      </c>
      <c r="O4" s="19">
        <f>SUM('RC 2006'!B4:M4)</f>
        <v>317279.05</v>
      </c>
      <c r="P4" s="22">
        <f>N4/O4-1</f>
        <v>7.4938417774511157E-2</v>
      </c>
    </row>
    <row r="5" spans="1:16">
      <c r="A5" s="267" t="s">
        <v>282</v>
      </c>
      <c r="B5" s="19">
        <v>1676.54</v>
      </c>
      <c r="C5" s="19">
        <v>2890.91</v>
      </c>
      <c r="D5" s="19">
        <v>437.08</v>
      </c>
      <c r="E5" s="19">
        <v>440.12</v>
      </c>
      <c r="F5" s="19">
        <v>3563.53</v>
      </c>
      <c r="G5" s="19">
        <v>1553.81</v>
      </c>
      <c r="H5" s="19">
        <v>1832.71</v>
      </c>
      <c r="I5" s="19">
        <v>7643.57</v>
      </c>
      <c r="J5" s="19">
        <v>2466.9699999999998</v>
      </c>
      <c r="K5" s="19">
        <v>3639.13</v>
      </c>
      <c r="L5" s="19">
        <v>5643.77</v>
      </c>
      <c r="M5" s="51">
        <v>8006</v>
      </c>
      <c r="N5" s="308">
        <f t="shared" si="0"/>
        <v>39794.14</v>
      </c>
      <c r="O5" s="19">
        <f>SUM('RC 2006'!B5:M5)</f>
        <v>31791.920000000002</v>
      </c>
      <c r="P5" s="22">
        <f t="shared" ref="P5:P21" si="1">N5/O5-1</f>
        <v>0.25170609387542475</v>
      </c>
    </row>
    <row r="6" spans="1:16">
      <c r="A6" s="267" t="s">
        <v>284</v>
      </c>
      <c r="B6" s="19">
        <v>9792.07</v>
      </c>
      <c r="C6" s="19">
        <v>13870.97</v>
      </c>
      <c r="D6" s="19">
        <v>8749.81</v>
      </c>
      <c r="E6" s="19">
        <v>5166.34</v>
      </c>
      <c r="F6" s="19">
        <v>13714.83</v>
      </c>
      <c r="G6" s="19">
        <v>9620.81</v>
      </c>
      <c r="H6" s="19">
        <v>16533.740000000002</v>
      </c>
      <c r="I6" s="19">
        <v>28020.82</v>
      </c>
      <c r="J6" s="19">
        <v>11304.31</v>
      </c>
      <c r="K6" s="19">
        <v>11082.18</v>
      </c>
      <c r="L6" s="19">
        <v>35017.129999999997</v>
      </c>
      <c r="M6" s="51">
        <v>8735</v>
      </c>
      <c r="N6" s="308">
        <f t="shared" si="0"/>
        <v>171608.01</v>
      </c>
      <c r="O6" s="19">
        <f>SUM('RC 2006'!B6:M6)</f>
        <v>147923.03999999998</v>
      </c>
      <c r="P6" s="22">
        <f t="shared" si="1"/>
        <v>0.16011684183883745</v>
      </c>
    </row>
    <row r="7" spans="1:16">
      <c r="A7" s="267" t="s">
        <v>285</v>
      </c>
      <c r="B7" s="19">
        <v>420.49</v>
      </c>
      <c r="C7" s="19">
        <v>2469.36</v>
      </c>
      <c r="D7" s="19">
        <v>2075.27</v>
      </c>
      <c r="E7" s="19">
        <v>1657.78</v>
      </c>
      <c r="F7" s="19">
        <v>4935.3</v>
      </c>
      <c r="G7" s="19">
        <v>4630.84</v>
      </c>
      <c r="H7" s="19">
        <v>1357.99</v>
      </c>
      <c r="I7" s="19">
        <v>11312.47</v>
      </c>
      <c r="J7" s="19">
        <v>7939.45</v>
      </c>
      <c r="K7" s="19">
        <v>5967.91</v>
      </c>
      <c r="L7" s="19">
        <v>11698.57</v>
      </c>
      <c r="M7" s="51">
        <v>3775</v>
      </c>
      <c r="N7" s="308">
        <f t="shared" si="0"/>
        <v>58240.43</v>
      </c>
      <c r="O7" s="19">
        <f>SUM('RC 2006'!B7:M7)</f>
        <v>74910.260000000009</v>
      </c>
      <c r="P7" s="22">
        <f t="shared" si="1"/>
        <v>-0.22253066535879074</v>
      </c>
    </row>
    <row r="8" spans="1:16">
      <c r="A8" s="267" t="s">
        <v>180</v>
      </c>
      <c r="B8" s="19">
        <v>125849.23</v>
      </c>
      <c r="C8" s="19">
        <v>185183.78</v>
      </c>
      <c r="D8" s="19">
        <v>97077.54</v>
      </c>
      <c r="E8" s="19">
        <v>101347.99</v>
      </c>
      <c r="F8" s="19">
        <v>216629.33</v>
      </c>
      <c r="G8" s="19">
        <v>229063.9</v>
      </c>
      <c r="H8" s="19">
        <v>211941.74</v>
      </c>
      <c r="I8" s="19">
        <v>299184.15999999997</v>
      </c>
      <c r="J8" s="19">
        <v>167525.10999999999</v>
      </c>
      <c r="K8" s="19">
        <v>193812.48000000001</v>
      </c>
      <c r="L8" s="19">
        <v>305025.83</v>
      </c>
      <c r="M8" s="51">
        <v>189096</v>
      </c>
      <c r="N8" s="308">
        <f t="shared" si="0"/>
        <v>2321737.09</v>
      </c>
      <c r="O8" s="19">
        <f>SUM('RC 2006'!B8:M8)</f>
        <v>2111448.73</v>
      </c>
      <c r="P8" s="22">
        <f t="shared" si="1"/>
        <v>9.9594348189548487E-2</v>
      </c>
    </row>
    <row r="9" spans="1:16">
      <c r="A9" s="267" t="s">
        <v>262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51"/>
      <c r="N9" s="308">
        <f t="shared" si="0"/>
        <v>0</v>
      </c>
      <c r="O9" s="19">
        <f>SUM('RC 2006'!B9:M9)</f>
        <v>0</v>
      </c>
      <c r="P9" s="22" t="e">
        <f t="shared" si="1"/>
        <v>#DIV/0!</v>
      </c>
    </row>
    <row r="10" spans="1:16">
      <c r="A10" s="267" t="s">
        <v>183</v>
      </c>
      <c r="B10" s="19">
        <v>3023.47</v>
      </c>
      <c r="C10" s="19">
        <v>40727.300000000003</v>
      </c>
      <c r="D10" s="19">
        <v>38152.43</v>
      </c>
      <c r="E10" s="19">
        <v>27619.54</v>
      </c>
      <c r="F10" s="19">
        <v>48307.34</v>
      </c>
      <c r="G10" s="19">
        <v>12195.27</v>
      </c>
      <c r="H10" s="19">
        <v>11817.12</v>
      </c>
      <c r="I10" s="19">
        <v>12681.7</v>
      </c>
      <c r="J10" s="19">
        <v>9169.68</v>
      </c>
      <c r="K10" s="19">
        <v>6325.41</v>
      </c>
      <c r="L10" s="19">
        <v>13298.67</v>
      </c>
      <c r="M10" s="51">
        <v>3667</v>
      </c>
      <c r="N10" s="308">
        <f t="shared" si="0"/>
        <v>226984.93000000002</v>
      </c>
      <c r="O10" s="19">
        <f>SUM('RC 2006'!B10:M10)</f>
        <v>217669.72999999995</v>
      </c>
      <c r="P10" s="22">
        <f t="shared" si="1"/>
        <v>4.2795109820736643E-2</v>
      </c>
    </row>
    <row r="11" spans="1:16">
      <c r="A11" s="267" t="s">
        <v>188</v>
      </c>
      <c r="B11" s="19">
        <v>41306.47</v>
      </c>
      <c r="C11" s="19">
        <v>54493.02</v>
      </c>
      <c r="D11" s="19">
        <v>42232.72</v>
      </c>
      <c r="E11" s="19">
        <v>26526.9</v>
      </c>
      <c r="F11" s="19">
        <v>52380.22</v>
      </c>
      <c r="G11" s="19">
        <v>42689.11</v>
      </c>
      <c r="H11" s="19">
        <v>42334.79</v>
      </c>
      <c r="I11" s="19">
        <v>83198.11</v>
      </c>
      <c r="J11" s="19">
        <v>40348.46</v>
      </c>
      <c r="K11" s="19">
        <v>55567.08</v>
      </c>
      <c r="L11" s="19">
        <v>81793.850000000006</v>
      </c>
      <c r="M11" s="51">
        <v>47882</v>
      </c>
      <c r="N11" s="308">
        <f t="shared" si="0"/>
        <v>610752.73</v>
      </c>
      <c r="O11" s="19">
        <f>SUM('RC 2006'!B11:M11)</f>
        <v>548224.06000000006</v>
      </c>
      <c r="P11" s="22">
        <f t="shared" si="1"/>
        <v>0.11405677817204873</v>
      </c>
    </row>
    <row r="12" spans="1:16">
      <c r="A12" s="267" t="s">
        <v>286</v>
      </c>
      <c r="B12" s="19">
        <v>3849.25</v>
      </c>
      <c r="C12" s="19">
        <v>4009.7</v>
      </c>
      <c r="D12" s="19">
        <v>2975.12</v>
      </c>
      <c r="E12" s="19">
        <v>3921.31</v>
      </c>
      <c r="F12" s="19">
        <v>4947.54</v>
      </c>
      <c r="G12" s="19">
        <v>5167.04</v>
      </c>
      <c r="H12" s="19">
        <v>7016.68</v>
      </c>
      <c r="I12" s="19">
        <v>10653.26</v>
      </c>
      <c r="J12" s="19">
        <v>7218.24</v>
      </c>
      <c r="K12" s="19">
        <v>7849.36</v>
      </c>
      <c r="L12" s="19">
        <v>11133.66</v>
      </c>
      <c r="M12" s="51">
        <v>8251</v>
      </c>
      <c r="N12" s="308">
        <f t="shared" si="0"/>
        <v>76992.160000000003</v>
      </c>
      <c r="O12" s="19">
        <f>SUM('RC 2006'!B12:M12)</f>
        <v>72279.44</v>
      </c>
      <c r="P12" s="22">
        <f t="shared" si="1"/>
        <v>6.5201390602915632E-2</v>
      </c>
    </row>
    <row r="13" spans="1:16">
      <c r="A13" s="267" t="s">
        <v>287</v>
      </c>
      <c r="B13" s="19">
        <v>2465.52</v>
      </c>
      <c r="C13" s="19">
        <v>11968.08</v>
      </c>
      <c r="D13" s="19">
        <v>4153.24</v>
      </c>
      <c r="E13" s="19">
        <v>13592.31</v>
      </c>
      <c r="F13" s="19">
        <v>7025.21</v>
      </c>
      <c r="G13" s="19">
        <v>4437.5</v>
      </c>
      <c r="H13" s="19">
        <v>8522.2000000000007</v>
      </c>
      <c r="I13" s="19">
        <v>29420.1</v>
      </c>
      <c r="J13" s="19">
        <v>12423.87</v>
      </c>
      <c r="K13" s="19">
        <v>13339.26</v>
      </c>
      <c r="L13" s="19">
        <v>53689.31</v>
      </c>
      <c r="M13" s="51">
        <v>4442</v>
      </c>
      <c r="N13" s="308">
        <f t="shared" si="0"/>
        <v>165478.59999999998</v>
      </c>
      <c r="O13" s="19">
        <f>SUM('RC 2006'!B13:M13)</f>
        <v>122095.79</v>
      </c>
      <c r="P13" s="22">
        <f t="shared" si="1"/>
        <v>0.35531782054074079</v>
      </c>
    </row>
    <row r="14" spans="1:16">
      <c r="A14" s="267" t="s">
        <v>288</v>
      </c>
      <c r="B14" s="19">
        <v>21163.52</v>
      </c>
      <c r="C14" s="19">
        <v>68549.179999999993</v>
      </c>
      <c r="D14" s="19">
        <v>156459.29999999999</v>
      </c>
      <c r="E14" s="19">
        <v>134008.37</v>
      </c>
      <c r="F14" s="19">
        <v>160792.16</v>
      </c>
      <c r="G14" s="19">
        <v>37350.879999999997</v>
      </c>
      <c r="H14" s="19">
        <v>8256.7099999999991</v>
      </c>
      <c r="I14" s="19">
        <v>10346.870000000001</v>
      </c>
      <c r="J14" s="19">
        <v>0.94</v>
      </c>
      <c r="K14" s="19">
        <v>10686.33</v>
      </c>
      <c r="L14" s="19">
        <v>27181.31</v>
      </c>
      <c r="M14" s="51">
        <v>3513</v>
      </c>
      <c r="N14" s="308">
        <f t="shared" si="0"/>
        <v>638308.56999999995</v>
      </c>
      <c r="O14" s="19">
        <f>SUM('RC 2006'!B14:M14)</f>
        <v>631565.43999999994</v>
      </c>
      <c r="P14" s="22">
        <f t="shared" si="1"/>
        <v>1.0676850842250118E-2</v>
      </c>
    </row>
    <row r="15" spans="1:16">
      <c r="A15" s="267" t="s">
        <v>209</v>
      </c>
      <c r="B15" s="19">
        <v>4597.38</v>
      </c>
      <c r="C15" s="19">
        <v>11070.7</v>
      </c>
      <c r="D15" s="19">
        <v>4184.68</v>
      </c>
      <c r="E15" s="19">
        <v>4237.54</v>
      </c>
      <c r="F15" s="19">
        <v>10989.43</v>
      </c>
      <c r="G15" s="19">
        <v>4526.83</v>
      </c>
      <c r="H15" s="19">
        <v>4956.82</v>
      </c>
      <c r="I15" s="19">
        <v>16376.88</v>
      </c>
      <c r="J15" s="19">
        <v>2516.88</v>
      </c>
      <c r="K15" s="19">
        <v>8316.6299999999992</v>
      </c>
      <c r="L15" s="19">
        <v>18897.72</v>
      </c>
      <c r="M15" s="51">
        <v>4649</v>
      </c>
      <c r="N15" s="308">
        <f t="shared" si="0"/>
        <v>95320.49</v>
      </c>
      <c r="O15" s="19">
        <f>SUM('RC 2006'!B15:M15)</f>
        <v>81668.95</v>
      </c>
      <c r="P15" s="22">
        <f t="shared" si="1"/>
        <v>0.16715704071131077</v>
      </c>
    </row>
    <row r="16" spans="1:16">
      <c r="A16" s="267" t="s">
        <v>289</v>
      </c>
      <c r="B16" s="19">
        <v>275706.52</v>
      </c>
      <c r="C16" s="19">
        <v>918643.29</v>
      </c>
      <c r="D16" s="19">
        <v>920343.2</v>
      </c>
      <c r="E16" s="19">
        <v>860141.59</v>
      </c>
      <c r="F16" s="19">
        <v>1009979.13</v>
      </c>
      <c r="G16" s="19">
        <v>317180.99</v>
      </c>
      <c r="H16" s="19">
        <v>277460.64</v>
      </c>
      <c r="I16" s="19">
        <v>359289.43</v>
      </c>
      <c r="J16" s="19">
        <v>346166.59</v>
      </c>
      <c r="K16" s="19">
        <v>367781.16</v>
      </c>
      <c r="L16" s="19">
        <v>504682</v>
      </c>
      <c r="M16" s="51">
        <v>260919</v>
      </c>
      <c r="N16" s="308">
        <f t="shared" si="0"/>
        <v>6418293.5399999991</v>
      </c>
      <c r="O16" s="19">
        <f>SUM('RC 2006'!B16:M16)</f>
        <v>5860315.8999999994</v>
      </c>
      <c r="P16" s="22">
        <f t="shared" si="1"/>
        <v>9.5212894581331309E-2</v>
      </c>
    </row>
    <row r="17" spans="1:16">
      <c r="A17" s="267" t="s">
        <v>230</v>
      </c>
      <c r="B17" s="19">
        <v>10597.4</v>
      </c>
      <c r="C17" s="19">
        <v>39251.39</v>
      </c>
      <c r="D17" s="19">
        <v>16986.310000000001</v>
      </c>
      <c r="E17" s="19">
        <v>13294.82</v>
      </c>
      <c r="F17" s="19">
        <v>44810.23</v>
      </c>
      <c r="G17" s="19">
        <v>16659.75</v>
      </c>
      <c r="H17" s="19">
        <v>13518.97</v>
      </c>
      <c r="I17" s="19">
        <v>46059.85</v>
      </c>
      <c r="J17" s="19">
        <v>36734.26</v>
      </c>
      <c r="K17" s="19">
        <v>36678.980000000003</v>
      </c>
      <c r="L17" s="19">
        <v>36372.75</v>
      </c>
      <c r="M17" s="51">
        <v>20825</v>
      </c>
      <c r="N17" s="308">
        <f t="shared" si="0"/>
        <v>331789.71000000002</v>
      </c>
      <c r="O17" s="19">
        <f>SUM('RC 2006'!B17:M17)</f>
        <v>8645.9</v>
      </c>
      <c r="P17" s="22" t="s">
        <v>46</v>
      </c>
    </row>
    <row r="18" spans="1:16">
      <c r="A18" s="267" t="s">
        <v>291</v>
      </c>
      <c r="B18" s="19">
        <v>5280.7</v>
      </c>
      <c r="C18" s="19">
        <v>10266.58</v>
      </c>
      <c r="D18" s="19">
        <v>4013.49</v>
      </c>
      <c r="E18" s="19">
        <v>3091.95</v>
      </c>
      <c r="F18" s="19">
        <v>12172.94</v>
      </c>
      <c r="G18" s="19">
        <v>4199.55</v>
      </c>
      <c r="H18" s="19">
        <v>3764.35</v>
      </c>
      <c r="I18" s="19">
        <v>12847.96</v>
      </c>
      <c r="J18" s="19">
        <v>5142.9799999999996</v>
      </c>
      <c r="K18" s="19">
        <v>6033.09</v>
      </c>
      <c r="L18" s="19">
        <v>5829.52</v>
      </c>
      <c r="M18" s="51">
        <v>7796</v>
      </c>
      <c r="N18" s="308">
        <f>SUM(B18:M18)</f>
        <v>80439.11</v>
      </c>
      <c r="O18" s="19"/>
      <c r="P18" s="22" t="e">
        <f t="shared" si="1"/>
        <v>#DIV/0!</v>
      </c>
    </row>
    <row r="19" spans="1:16">
      <c r="A19" s="267" t="s">
        <v>238</v>
      </c>
      <c r="B19" s="19">
        <v>23886.02</v>
      </c>
      <c r="C19" s="19">
        <v>39954.65</v>
      </c>
      <c r="D19" s="19">
        <v>14421.43</v>
      </c>
      <c r="E19" s="19">
        <v>20809.150000000001</v>
      </c>
      <c r="F19" s="19">
        <v>39759.32</v>
      </c>
      <c r="G19" s="19">
        <v>52032.17</v>
      </c>
      <c r="H19" s="19">
        <v>55271.199999999997</v>
      </c>
      <c r="I19" s="19">
        <v>108603.92</v>
      </c>
      <c r="J19" s="19">
        <v>52228.61</v>
      </c>
      <c r="K19" s="19">
        <v>56039.62</v>
      </c>
      <c r="L19" s="19">
        <v>104674.85</v>
      </c>
      <c r="M19" s="51">
        <v>46122</v>
      </c>
      <c r="N19" s="308">
        <f t="shared" si="0"/>
        <v>613802.93999999994</v>
      </c>
      <c r="O19" s="19">
        <f>SUM('RC 2006'!B19:M19)</f>
        <v>543221.99</v>
      </c>
      <c r="P19" s="22">
        <f t="shared" si="1"/>
        <v>0.1299302150857331</v>
      </c>
    </row>
    <row r="20" spans="1:16">
      <c r="A20" s="301"/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15"/>
      <c r="N20" s="316"/>
      <c r="O20" s="302">
        <f>SUM('RC 2003'!B18:B18)</f>
        <v>0</v>
      </c>
      <c r="P20" s="305"/>
    </row>
    <row r="21" spans="1:16" ht="13" thickBot="1">
      <c r="A21" s="275" t="s">
        <v>54</v>
      </c>
      <c r="B21" s="306">
        <f t="shared" ref="B21:N21" si="2">SUM(B4:B19)</f>
        <v>546051.86</v>
      </c>
      <c r="C21" s="306">
        <f t="shared" si="2"/>
        <v>1432702.36</v>
      </c>
      <c r="D21" s="306">
        <f t="shared" si="2"/>
        <v>1329187.44</v>
      </c>
      <c r="E21" s="306">
        <f t="shared" si="2"/>
        <v>1231066.5799999998</v>
      </c>
      <c r="F21" s="306">
        <f t="shared" si="2"/>
        <v>1662416.7</v>
      </c>
      <c r="G21" s="306">
        <f t="shared" si="2"/>
        <v>765267.84000000008</v>
      </c>
      <c r="H21" s="306">
        <f t="shared" si="2"/>
        <v>688423.00999999989</v>
      </c>
      <c r="I21" s="306">
        <f t="shared" si="2"/>
        <v>1082420.0999999999</v>
      </c>
      <c r="J21" s="306">
        <f t="shared" si="2"/>
        <v>731675.7</v>
      </c>
      <c r="K21" s="306">
        <f t="shared" si="2"/>
        <v>813354.30999999994</v>
      </c>
      <c r="L21" s="306">
        <f t="shared" si="2"/>
        <v>1265881.9900000002</v>
      </c>
      <c r="M21" s="319">
        <f t="shared" si="2"/>
        <v>642150</v>
      </c>
      <c r="N21" s="317">
        <f t="shared" si="2"/>
        <v>12190597.889999999</v>
      </c>
      <c r="O21" s="96">
        <f>SUM('RC 2006'!B21:M21)</f>
        <v>10811942.389999999</v>
      </c>
      <c r="P21" s="309">
        <f t="shared" si="1"/>
        <v>0.12751228690185434</v>
      </c>
    </row>
    <row r="22" spans="1:16">
      <c r="A22" s="276" t="s">
        <v>265</v>
      </c>
      <c r="B22" s="320">
        <f>B21/'RC 2006'!B21-1</f>
        <v>0.17388338606277842</v>
      </c>
      <c r="C22" s="320">
        <f>C21/'RC 2006'!C21-1</f>
        <v>0.10677775070299833</v>
      </c>
      <c r="D22" s="320">
        <f>D21/'RC 2006'!D21-1</f>
        <v>0.32945867615911006</v>
      </c>
      <c r="E22" s="320">
        <f>E21/'RC 2006'!E21-1</f>
        <v>0.16690291776208754</v>
      </c>
      <c r="F22" s="320">
        <f>F21/'RC 2006'!F21-1</f>
        <v>4.5253836658910807E-2</v>
      </c>
      <c r="G22" s="320">
        <f>G21/'RC 2006'!G21-1</f>
        <v>-9.2989212435262369E-2</v>
      </c>
      <c r="H22" s="320">
        <f>H21/'RC 2006'!H21-1</f>
        <v>0.22595512050126998</v>
      </c>
      <c r="I22" s="320">
        <f>I21/'RC 2006'!I21-1</f>
        <v>0.11122592060031677</v>
      </c>
      <c r="J22" s="320">
        <f>J21/'RC 2006'!J21-1</f>
        <v>4.9671120100839294E-2</v>
      </c>
      <c r="K22" s="320">
        <f>K21/'RC 2006'!K21-1</f>
        <v>0.18684961831900671</v>
      </c>
      <c r="L22" s="320">
        <f>L21/'RC 2006'!L21-1</f>
        <v>0.22720261306456879</v>
      </c>
      <c r="M22" s="320">
        <f>M21/'RC 2006'!M21-1</f>
        <v>4.6101275114616591E-2</v>
      </c>
      <c r="N22" s="320">
        <f>N21/'RC 2006'!N21-1</f>
        <v>0.12751228690185434</v>
      </c>
      <c r="O22" s="1"/>
      <c r="P22" s="1"/>
    </row>
    <row r="28" spans="1:16">
      <c r="E28" s="100"/>
    </row>
    <row r="29" spans="1:16">
      <c r="E29" s="100"/>
    </row>
  </sheetData>
  <mergeCells count="1">
    <mergeCell ref="A1:P1"/>
  </mergeCells>
  <pageMargins left="0.25" right="0.25" top="1" bottom="1" header="0.5" footer="0.5"/>
  <pageSetup scale="9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 enableFormatConditionsCalculation="0">
    <tabColor rgb="FF7030A0"/>
  </sheetPr>
  <dimension ref="A1:P26"/>
  <sheetViews>
    <sheetView workbookViewId="0">
      <selection activeCell="H50" sqref="H50"/>
    </sheetView>
  </sheetViews>
  <sheetFormatPr baseColWidth="10" defaultColWidth="8.83203125" defaultRowHeight="12" x14ac:dyDescent="0"/>
  <cols>
    <col min="9" max="9" width="11.1640625" bestFit="1" customWidth="1"/>
    <col min="14" max="14" width="9.5" bestFit="1" customWidth="1"/>
  </cols>
  <sheetData>
    <row r="1" spans="1:16" ht="23">
      <c r="A1" s="711" t="s">
        <v>304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</row>
    <row r="2" spans="1:16" ht="13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310" t="s">
        <v>13</v>
      </c>
      <c r="N3" s="311" t="s">
        <v>79</v>
      </c>
      <c r="O3" s="251" t="s">
        <v>74</v>
      </c>
      <c r="P3" s="253" t="s">
        <v>16</v>
      </c>
    </row>
    <row r="4" spans="1:16">
      <c r="A4" s="267" t="s">
        <v>176</v>
      </c>
      <c r="B4" s="19">
        <v>14760.51</v>
      </c>
      <c r="C4" s="19">
        <v>22826.55</v>
      </c>
      <c r="D4" s="19">
        <v>15385.61</v>
      </c>
      <c r="E4" s="19">
        <v>12237.93</v>
      </c>
      <c r="F4" s="19">
        <v>24475.4</v>
      </c>
      <c r="G4" s="19">
        <v>20310.349999999999</v>
      </c>
      <c r="H4" s="19">
        <v>25058.06</v>
      </c>
      <c r="I4" s="19">
        <v>49943.16</v>
      </c>
      <c r="J4" s="19">
        <v>33055.32</v>
      </c>
      <c r="K4" s="19">
        <v>28439.96</v>
      </c>
      <c r="L4" s="19">
        <v>47257.21</v>
      </c>
      <c r="M4" s="51">
        <v>23528.99</v>
      </c>
      <c r="N4" s="313">
        <f t="shared" ref="N4:N19" si="0">SUM(B4:M4)</f>
        <v>317279.05</v>
      </c>
      <c r="O4" s="19">
        <f>SUM('RC 2005'!B4:M4)</f>
        <v>291864.52</v>
      </c>
      <c r="P4" s="22">
        <f>N4/O4-1</f>
        <v>8.707646273688896E-2</v>
      </c>
    </row>
    <row r="5" spans="1:16">
      <c r="A5" s="267" t="s">
        <v>282</v>
      </c>
      <c r="B5" s="19">
        <v>2076.7800000000002</v>
      </c>
      <c r="C5" s="19">
        <v>2353.2199999999998</v>
      </c>
      <c r="D5" s="19">
        <v>606.52</v>
      </c>
      <c r="E5" s="19">
        <v>2035.8</v>
      </c>
      <c r="F5" s="19">
        <v>2494.23</v>
      </c>
      <c r="G5" s="19">
        <v>1502.96</v>
      </c>
      <c r="H5" s="19">
        <v>3229.62</v>
      </c>
      <c r="I5" s="19">
        <v>4808.3100000000004</v>
      </c>
      <c r="J5" s="19">
        <v>1752.25</v>
      </c>
      <c r="K5" s="19">
        <v>2750.3</v>
      </c>
      <c r="L5" s="19">
        <v>7143.46</v>
      </c>
      <c r="M5" s="51">
        <v>1038.47</v>
      </c>
      <c r="N5" s="313">
        <f t="shared" si="0"/>
        <v>31791.920000000002</v>
      </c>
      <c r="O5" s="19">
        <f>SUM('RC 2005'!B5:M5)</f>
        <v>29328.650000000005</v>
      </c>
      <c r="P5" s="22">
        <f t="shared" ref="P5:P21" si="1">N5/O5-1</f>
        <v>8.3988523167619178E-2</v>
      </c>
    </row>
    <row r="6" spans="1:16">
      <c r="A6" s="267" t="s">
        <v>284</v>
      </c>
      <c r="B6" s="19">
        <v>8816.1</v>
      </c>
      <c r="C6" s="19">
        <v>13606.14</v>
      </c>
      <c r="D6" s="19">
        <v>4527.1099999999997</v>
      </c>
      <c r="E6" s="19">
        <v>4733.49</v>
      </c>
      <c r="F6" s="19">
        <v>12181.8</v>
      </c>
      <c r="G6" s="19">
        <v>8312.67</v>
      </c>
      <c r="H6" s="19">
        <v>9481.4599999999991</v>
      </c>
      <c r="I6" s="19">
        <v>25912.19</v>
      </c>
      <c r="J6" s="19">
        <v>11286.15</v>
      </c>
      <c r="K6" s="19">
        <v>11180.14</v>
      </c>
      <c r="L6" s="19">
        <v>27477.279999999999</v>
      </c>
      <c r="M6" s="51">
        <v>10408.51</v>
      </c>
      <c r="N6" s="313">
        <f t="shared" si="0"/>
        <v>147923.03999999998</v>
      </c>
      <c r="O6" s="19">
        <f>SUM('RC 2005'!B6:M6)</f>
        <v>126090.15</v>
      </c>
      <c r="P6" s="22">
        <f t="shared" si="1"/>
        <v>0.17315301790028781</v>
      </c>
    </row>
    <row r="7" spans="1:16">
      <c r="A7" s="267" t="s">
        <v>285</v>
      </c>
      <c r="B7" s="19">
        <v>3552.03</v>
      </c>
      <c r="C7" s="19">
        <v>9014.09</v>
      </c>
      <c r="D7" s="19">
        <v>3270.66</v>
      </c>
      <c r="E7" s="19">
        <v>3124.56</v>
      </c>
      <c r="F7" s="19">
        <v>3542.95</v>
      </c>
      <c r="G7" s="19">
        <v>4454.79</v>
      </c>
      <c r="H7" s="19">
        <v>7269.58</v>
      </c>
      <c r="I7" s="19">
        <v>10359.07</v>
      </c>
      <c r="J7" s="19">
        <v>5689.08</v>
      </c>
      <c r="K7" s="19">
        <v>5900.13</v>
      </c>
      <c r="L7" s="19">
        <v>8577.64</v>
      </c>
      <c r="M7" s="51">
        <v>10155.68</v>
      </c>
      <c r="N7" s="313">
        <f t="shared" si="0"/>
        <v>74910.260000000009</v>
      </c>
      <c r="O7" s="19">
        <f>SUM('RC 2005'!B7:M7)</f>
        <v>51001.73</v>
      </c>
      <c r="P7" s="22">
        <f t="shared" si="1"/>
        <v>0.4687788041699763</v>
      </c>
    </row>
    <row r="8" spans="1:16">
      <c r="A8" s="267" t="s">
        <v>180</v>
      </c>
      <c r="B8" s="19">
        <v>101387.01</v>
      </c>
      <c r="C8" s="19">
        <v>168855.99</v>
      </c>
      <c r="D8" s="19">
        <v>84899.09</v>
      </c>
      <c r="E8" s="19">
        <v>85225.74</v>
      </c>
      <c r="F8" s="19">
        <v>192530.05</v>
      </c>
      <c r="G8" s="19">
        <v>189127.25</v>
      </c>
      <c r="H8" s="19">
        <v>175594.25</v>
      </c>
      <c r="I8" s="19">
        <v>299819.64</v>
      </c>
      <c r="J8" s="19">
        <v>190733.66</v>
      </c>
      <c r="K8" s="19">
        <v>171662.21</v>
      </c>
      <c r="L8" s="19">
        <v>274252.98</v>
      </c>
      <c r="M8" s="51">
        <v>177360.86</v>
      </c>
      <c r="N8" s="313">
        <f t="shared" si="0"/>
        <v>2111448.73</v>
      </c>
      <c r="O8" s="19">
        <f>SUM('RC 2005'!B8:M8)</f>
        <v>1944198.72</v>
      </c>
      <c r="P8" s="22">
        <f t="shared" si="1"/>
        <v>8.6025162078082307E-2</v>
      </c>
    </row>
    <row r="9" spans="1:16">
      <c r="A9" s="267" t="s">
        <v>262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51"/>
      <c r="N9" s="313">
        <f t="shared" si="0"/>
        <v>0</v>
      </c>
      <c r="O9" s="19">
        <f>SUM('RC 2005'!B9:L9)</f>
        <v>0</v>
      </c>
      <c r="P9" s="22" t="e">
        <f t="shared" si="1"/>
        <v>#DIV/0!</v>
      </c>
    </row>
    <row r="10" spans="1:16">
      <c r="A10" s="267" t="s">
        <v>183</v>
      </c>
      <c r="B10" s="19">
        <v>3451.47</v>
      </c>
      <c r="C10" s="19">
        <v>34533.339999999997</v>
      </c>
      <c r="D10" s="19">
        <v>32584.61</v>
      </c>
      <c r="E10" s="19">
        <v>32944.589999999997</v>
      </c>
      <c r="F10" s="19">
        <v>54224.57</v>
      </c>
      <c r="G10" s="19">
        <v>17025.62</v>
      </c>
      <c r="H10" s="19">
        <v>2852.05</v>
      </c>
      <c r="I10" s="19">
        <v>10794.99</v>
      </c>
      <c r="J10" s="19">
        <v>6389.38</v>
      </c>
      <c r="K10" s="19">
        <v>6784.09</v>
      </c>
      <c r="L10" s="19">
        <v>12174.81</v>
      </c>
      <c r="M10" s="51">
        <v>3910.21</v>
      </c>
      <c r="N10" s="313">
        <f t="shared" si="0"/>
        <v>217669.72999999995</v>
      </c>
      <c r="O10" s="19">
        <f>SUM('RC 2005'!B10:M10)</f>
        <v>237377.40999999997</v>
      </c>
      <c r="P10" s="22">
        <f t="shared" si="1"/>
        <v>-8.3022558886290065E-2</v>
      </c>
    </row>
    <row r="11" spans="1:16">
      <c r="A11" s="267" t="s">
        <v>188</v>
      </c>
      <c r="B11" s="19">
        <v>32317.25</v>
      </c>
      <c r="C11" s="19">
        <v>57328.52</v>
      </c>
      <c r="D11" s="19">
        <v>25606.09</v>
      </c>
      <c r="E11" s="19">
        <v>22882.33</v>
      </c>
      <c r="F11" s="19">
        <v>50703.6</v>
      </c>
      <c r="G11" s="19">
        <v>36303.94</v>
      </c>
      <c r="H11" s="19">
        <v>41992.58</v>
      </c>
      <c r="I11" s="19">
        <v>78153.179999999993</v>
      </c>
      <c r="J11" s="19">
        <v>39230.629999999997</v>
      </c>
      <c r="K11" s="19">
        <v>46099.89</v>
      </c>
      <c r="L11" s="19">
        <v>74288.39</v>
      </c>
      <c r="M11" s="51">
        <v>43317.66</v>
      </c>
      <c r="N11" s="313">
        <f t="shared" si="0"/>
        <v>548224.06000000006</v>
      </c>
      <c r="O11" s="19">
        <f>SUM('RC 2005'!B11:M11)</f>
        <v>483065.80999999994</v>
      </c>
      <c r="P11" s="22">
        <f t="shared" si="1"/>
        <v>0.13488483070246704</v>
      </c>
    </row>
    <row r="12" spans="1:16">
      <c r="A12" s="267" t="s">
        <v>286</v>
      </c>
      <c r="B12" s="19">
        <v>3173.21</v>
      </c>
      <c r="C12" s="19">
        <v>3966.16</v>
      </c>
      <c r="D12" s="19">
        <v>2847.92</v>
      </c>
      <c r="E12" s="19">
        <v>2499.4499999999998</v>
      </c>
      <c r="F12" s="19">
        <v>4978.93</v>
      </c>
      <c r="G12" s="19">
        <v>4389.01</v>
      </c>
      <c r="H12" s="19">
        <v>7083.87</v>
      </c>
      <c r="I12" s="19">
        <v>11672.23</v>
      </c>
      <c r="J12" s="19">
        <v>5231.51</v>
      </c>
      <c r="K12" s="19">
        <v>8301.23</v>
      </c>
      <c r="L12" s="19">
        <v>10931.21</v>
      </c>
      <c r="M12" s="51">
        <v>7204.71</v>
      </c>
      <c r="N12" s="313">
        <f t="shared" si="0"/>
        <v>72279.44</v>
      </c>
      <c r="O12" s="19">
        <f>SUM('RC 2005'!B12:M12)</f>
        <v>61853.33</v>
      </c>
      <c r="P12" s="22">
        <f t="shared" si="1"/>
        <v>0.16856182197466163</v>
      </c>
    </row>
    <row r="13" spans="1:16">
      <c r="A13" s="267" t="s">
        <v>287</v>
      </c>
      <c r="B13" s="19">
        <v>3343.1</v>
      </c>
      <c r="C13" s="19">
        <v>7377.39</v>
      </c>
      <c r="D13" s="19">
        <v>2592.2800000000002</v>
      </c>
      <c r="E13" s="19">
        <v>1950.24</v>
      </c>
      <c r="F13" s="19">
        <v>7145.1</v>
      </c>
      <c r="G13" s="19">
        <v>3858.36</v>
      </c>
      <c r="H13" s="19">
        <v>6413.27</v>
      </c>
      <c r="I13" s="19">
        <v>31205.67</v>
      </c>
      <c r="J13" s="19">
        <v>9317.51</v>
      </c>
      <c r="K13" s="19">
        <v>9801.75</v>
      </c>
      <c r="L13" s="19">
        <v>36013.1</v>
      </c>
      <c r="M13" s="51">
        <v>3078.02</v>
      </c>
      <c r="N13" s="313">
        <f t="shared" si="0"/>
        <v>122095.79</v>
      </c>
      <c r="O13" s="19">
        <f>SUM('RC 2005'!B13:M13)</f>
        <v>98285.709999999992</v>
      </c>
      <c r="P13" s="22">
        <f t="shared" si="1"/>
        <v>0.24225373149362195</v>
      </c>
    </row>
    <row r="14" spans="1:16">
      <c r="A14" s="267" t="s">
        <v>288</v>
      </c>
      <c r="B14" s="19">
        <v>16132.97</v>
      </c>
      <c r="C14" s="19">
        <v>99992.67</v>
      </c>
      <c r="D14" s="19">
        <v>109099.93</v>
      </c>
      <c r="E14" s="19">
        <v>82723.360000000001</v>
      </c>
      <c r="F14" s="19">
        <v>207786.58</v>
      </c>
      <c r="G14" s="19">
        <v>49268.65</v>
      </c>
      <c r="H14" s="19">
        <v>9816.85</v>
      </c>
      <c r="I14" s="19">
        <v>11457.08</v>
      </c>
      <c r="J14" s="19">
        <v>7274.06</v>
      </c>
      <c r="K14" s="19">
        <v>10224.459999999999</v>
      </c>
      <c r="L14" s="19">
        <v>24034.99</v>
      </c>
      <c r="M14" s="51">
        <v>3753.84</v>
      </c>
      <c r="N14" s="313">
        <f t="shared" si="0"/>
        <v>631565.43999999994</v>
      </c>
      <c r="O14" s="19">
        <f>SUM('RC 2005'!B14:M14)</f>
        <v>572972.07000000007</v>
      </c>
      <c r="P14" s="22">
        <f t="shared" si="1"/>
        <v>0.10226217483864408</v>
      </c>
    </row>
    <row r="15" spans="1:16">
      <c r="A15" s="267" t="s">
        <v>209</v>
      </c>
      <c r="B15" s="19">
        <v>3325.23</v>
      </c>
      <c r="C15" s="19">
        <v>11220.23</v>
      </c>
      <c r="D15" s="19">
        <v>3492.68</v>
      </c>
      <c r="E15" s="19">
        <v>3394.8</v>
      </c>
      <c r="F15" s="19">
        <v>10917.16</v>
      </c>
      <c r="G15" s="19">
        <v>3822.61</v>
      </c>
      <c r="H15" s="19">
        <v>4224.91</v>
      </c>
      <c r="I15" s="19">
        <v>14083.69</v>
      </c>
      <c r="J15" s="19">
        <v>3756.21</v>
      </c>
      <c r="K15" s="19">
        <v>6639.49</v>
      </c>
      <c r="L15" s="19">
        <v>13980.72</v>
      </c>
      <c r="M15" s="51">
        <v>2811.22</v>
      </c>
      <c r="N15" s="313">
        <f t="shared" si="0"/>
        <v>81668.95</v>
      </c>
      <c r="O15" s="19">
        <f>SUM('RC 2005'!B15:M15)</f>
        <v>77833.899999999994</v>
      </c>
      <c r="P15" s="22">
        <f t="shared" si="1"/>
        <v>4.9272232279251149E-2</v>
      </c>
    </row>
    <row r="16" spans="1:16">
      <c r="A16" s="267" t="s">
        <v>289</v>
      </c>
      <c r="B16" s="19">
        <v>246031.47</v>
      </c>
      <c r="C16" s="19">
        <v>822157.87</v>
      </c>
      <c r="D16" s="19">
        <v>699088.33</v>
      </c>
      <c r="E16" s="19">
        <v>786732.81</v>
      </c>
      <c r="F16" s="19">
        <v>975584.5</v>
      </c>
      <c r="G16" s="19">
        <v>467573.77</v>
      </c>
      <c r="H16" s="19">
        <v>212224.55</v>
      </c>
      <c r="I16" s="19">
        <v>322873.14</v>
      </c>
      <c r="J16" s="19">
        <v>334543.01</v>
      </c>
      <c r="K16" s="19">
        <v>326477.56</v>
      </c>
      <c r="L16" s="19">
        <v>391392.44</v>
      </c>
      <c r="M16" s="51">
        <v>275636.45</v>
      </c>
      <c r="N16" s="313">
        <f t="shared" si="0"/>
        <v>5860315.8999999994</v>
      </c>
      <c r="O16" s="19">
        <f>SUM('RC 2005'!B16:M16)</f>
        <v>5321145.0199999996</v>
      </c>
      <c r="P16" s="22">
        <f t="shared" si="1"/>
        <v>0.10132610142619258</v>
      </c>
    </row>
    <row r="17" spans="1:16">
      <c r="A17" s="267" t="s">
        <v>230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>
        <v>81.66</v>
      </c>
      <c r="M17" s="51">
        <v>8564.24</v>
      </c>
      <c r="N17" s="313">
        <f>SUM(B17:M17)</f>
        <v>8645.9</v>
      </c>
      <c r="O17" s="19" t="s">
        <v>46</v>
      </c>
      <c r="P17" s="22"/>
    </row>
    <row r="18" spans="1:16">
      <c r="A18" s="267" t="s">
        <v>291</v>
      </c>
      <c r="B18" s="19">
        <v>2996.65</v>
      </c>
      <c r="C18" s="19">
        <v>4315.49</v>
      </c>
      <c r="D18" s="19">
        <v>2806.1</v>
      </c>
      <c r="E18" s="19">
        <v>1918.79</v>
      </c>
      <c r="F18" s="19">
        <v>2911.05</v>
      </c>
      <c r="G18" s="19">
        <v>2224.9299999999998</v>
      </c>
      <c r="H18" s="19">
        <v>2779.98</v>
      </c>
      <c r="I18" s="19">
        <v>4741.3</v>
      </c>
      <c r="J18" s="19">
        <v>2959.77</v>
      </c>
      <c r="K18" s="19">
        <v>2978.82</v>
      </c>
      <c r="L18" s="19">
        <v>8011.81</v>
      </c>
      <c r="M18" s="51">
        <v>4257.5</v>
      </c>
      <c r="N18" s="313">
        <f>SUM(B18:M18)</f>
        <v>42902.189999999995</v>
      </c>
      <c r="O18" s="19">
        <f>SUM('RC 2005'!B17:M17)</f>
        <v>34627.000000000007</v>
      </c>
      <c r="P18" s="22">
        <f t="shared" si="1"/>
        <v>0.23898085309151784</v>
      </c>
    </row>
    <row r="19" spans="1:16">
      <c r="A19" s="267" t="s">
        <v>238</v>
      </c>
      <c r="B19" s="19">
        <v>23803.26</v>
      </c>
      <c r="C19" s="19">
        <v>36932.97</v>
      </c>
      <c r="D19" s="19">
        <v>12989.05</v>
      </c>
      <c r="E19" s="19">
        <v>12582.4</v>
      </c>
      <c r="F19" s="19">
        <v>40967.129999999997</v>
      </c>
      <c r="G19" s="19">
        <v>35550.269999999997</v>
      </c>
      <c r="H19" s="19">
        <v>53519.11</v>
      </c>
      <c r="I19" s="19">
        <v>98253.79</v>
      </c>
      <c r="J19" s="19">
        <v>45833.79</v>
      </c>
      <c r="K19" s="19">
        <v>48065.25</v>
      </c>
      <c r="L19" s="19">
        <v>95900.63</v>
      </c>
      <c r="M19" s="51">
        <v>38824.339999999997</v>
      </c>
      <c r="N19" s="313">
        <f t="shared" si="0"/>
        <v>543221.99</v>
      </c>
      <c r="O19" s="19">
        <f>SUM('RC 2005'!B18:M18)</f>
        <v>492834.55</v>
      </c>
      <c r="P19" s="22">
        <f t="shared" si="1"/>
        <v>0.10224007225142806</v>
      </c>
    </row>
    <row r="20" spans="1:16">
      <c r="A20" s="301"/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15"/>
      <c r="N20" s="316"/>
      <c r="O20" s="302">
        <f>SUM('RC 2003'!B18:B18)</f>
        <v>0</v>
      </c>
      <c r="P20" s="305"/>
    </row>
    <row r="21" spans="1:16" ht="13" thickBot="1">
      <c r="A21" s="275" t="s">
        <v>54</v>
      </c>
      <c r="B21" s="306">
        <f t="shared" ref="B21:N21" si="2">SUM(B4:B19)</f>
        <v>465167.04000000004</v>
      </c>
      <c r="C21" s="306">
        <f t="shared" si="2"/>
        <v>1294480.6299999999</v>
      </c>
      <c r="D21" s="306">
        <f t="shared" si="2"/>
        <v>999795.97999999986</v>
      </c>
      <c r="E21" s="306">
        <f t="shared" si="2"/>
        <v>1054986.29</v>
      </c>
      <c r="F21" s="306">
        <f t="shared" si="2"/>
        <v>1590443.05</v>
      </c>
      <c r="G21" s="306">
        <f t="shared" si="2"/>
        <v>843725.18</v>
      </c>
      <c r="H21" s="306">
        <f t="shared" si="2"/>
        <v>561540.1399999999</v>
      </c>
      <c r="I21" s="306">
        <f t="shared" si="2"/>
        <v>974077.43999999994</v>
      </c>
      <c r="J21" s="306">
        <f t="shared" si="2"/>
        <v>697052.33000000007</v>
      </c>
      <c r="K21" s="306">
        <f t="shared" si="2"/>
        <v>685305.27999999991</v>
      </c>
      <c r="L21" s="306">
        <f t="shared" si="2"/>
        <v>1031518.3300000001</v>
      </c>
      <c r="M21" s="319">
        <f t="shared" si="2"/>
        <v>613850.70000000007</v>
      </c>
      <c r="N21" s="317">
        <f t="shared" si="2"/>
        <v>10811942.389999999</v>
      </c>
      <c r="O21" s="96">
        <f>SUM('RC 2005'!B20:M20)</f>
        <v>9822478.5700000003</v>
      </c>
      <c r="P21" s="309">
        <f t="shared" si="1"/>
        <v>0.10073463769338598</v>
      </c>
    </row>
    <row r="22" spans="1:16">
      <c r="A22" s="276" t="s">
        <v>265</v>
      </c>
      <c r="B22" s="318">
        <f>B21/'RC 2004'!B20-1</f>
        <v>0.23252745356649762</v>
      </c>
      <c r="C22" s="318">
        <f>C21/'RC 2004'!C20-1</f>
        <v>0.39643958565135073</v>
      </c>
      <c r="D22" s="318">
        <f>D21/'RC 2004'!D20-1</f>
        <v>0.2430667078802502</v>
      </c>
      <c r="E22" s="318">
        <f>E21/'RC 2004'!E20-1</f>
        <v>0.2425038240171502</v>
      </c>
      <c r="F22" s="318">
        <f>F21/'RC 2004'!F20-1</f>
        <v>0.47927017181270992</v>
      </c>
      <c r="G22" s="318">
        <f>G21/'RC 2004'!G20-1</f>
        <v>0.55748249522773352</v>
      </c>
      <c r="H22" s="318">
        <f>H21/'RC 2004'!H20-1</f>
        <v>0.11180196078543925</v>
      </c>
      <c r="I22" s="318">
        <f>I21/'RC 2004'!I20-1</f>
        <v>0.20215170516105396</v>
      </c>
      <c r="J22" s="318">
        <f>J21/'RC 2004'!J20-1</f>
        <v>9.716424482038466E-2</v>
      </c>
      <c r="K22" s="318">
        <f>K21/'RC 2004'!K20-1</f>
        <v>0.48525572664292427</v>
      </c>
      <c r="L22" s="318">
        <f>L21/'RC 2004'!L20-1</f>
        <v>0.22377133879984989</v>
      </c>
      <c r="M22" s="318">
        <f>M21/'RC 2004'!M20-1</f>
        <v>0.27108234738544668</v>
      </c>
      <c r="N22" s="318">
        <f>N21/'RC 2004'!N20-1</f>
        <v>0.3006744168724742</v>
      </c>
      <c r="O22" s="1"/>
      <c r="P22" s="1"/>
    </row>
    <row r="25" spans="1:16">
      <c r="I25" s="100"/>
    </row>
    <row r="26" spans="1:16">
      <c r="I26" s="100"/>
    </row>
  </sheetData>
  <mergeCells count="1">
    <mergeCell ref="A1:P1"/>
  </mergeCells>
  <pageMargins left="0.25" right="0.25" top="1" bottom="1" header="0.5" footer="0.5"/>
  <pageSetup scale="9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 enableFormatConditionsCalculation="0">
    <tabColor rgb="FF7030A0"/>
  </sheetPr>
  <dimension ref="A1:P24"/>
  <sheetViews>
    <sheetView workbookViewId="0">
      <selection activeCell="H50" sqref="H50"/>
    </sheetView>
  </sheetViews>
  <sheetFormatPr baseColWidth="10" defaultColWidth="8.83203125" defaultRowHeight="12" x14ac:dyDescent="0"/>
  <cols>
    <col min="10" max="10" width="10.1640625" bestFit="1" customWidth="1"/>
    <col min="13" max="13" width="9.5" bestFit="1" customWidth="1"/>
  </cols>
  <sheetData>
    <row r="1" spans="1:16" ht="23">
      <c r="A1" s="711" t="s">
        <v>305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</row>
    <row r="2" spans="1:16" ht="13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310" t="s">
        <v>13</v>
      </c>
      <c r="N3" s="311" t="s">
        <v>74</v>
      </c>
      <c r="O3" s="251" t="s">
        <v>63</v>
      </c>
      <c r="P3" s="253" t="s">
        <v>16</v>
      </c>
    </row>
    <row r="4" spans="1:16">
      <c r="A4" s="267" t="s">
        <v>176</v>
      </c>
      <c r="B4" s="19">
        <v>15064.1</v>
      </c>
      <c r="C4" s="19">
        <v>22914.04</v>
      </c>
      <c r="D4" s="19">
        <v>12097.41</v>
      </c>
      <c r="E4" s="19">
        <v>12367.75</v>
      </c>
      <c r="F4" s="19">
        <v>18816.650000000001</v>
      </c>
      <c r="G4" s="19">
        <v>24892.71</v>
      </c>
      <c r="H4" s="19">
        <v>23382.66</v>
      </c>
      <c r="I4" s="19">
        <v>44848.75</v>
      </c>
      <c r="J4" s="19">
        <v>27118.83</v>
      </c>
      <c r="K4" s="19">
        <v>26590.06</v>
      </c>
      <c r="L4" s="19">
        <v>45539.11</v>
      </c>
      <c r="M4" s="51">
        <v>18232.45</v>
      </c>
      <c r="N4" s="313">
        <f t="shared" ref="N4:N18" si="0">SUM(B4:M4)</f>
        <v>291864.52</v>
      </c>
      <c r="O4" s="19">
        <f>SUM('RC 2004'!B4:M4)</f>
        <v>278467.46000000002</v>
      </c>
      <c r="P4" s="22">
        <f>N4/O4-1</f>
        <v>4.8109965882548789E-2</v>
      </c>
    </row>
    <row r="5" spans="1:16">
      <c r="A5" s="267" t="s">
        <v>282</v>
      </c>
      <c r="B5" s="19">
        <v>1171.78</v>
      </c>
      <c r="C5" s="19">
        <v>3672.81</v>
      </c>
      <c r="D5" s="19">
        <v>463.76</v>
      </c>
      <c r="E5" s="19">
        <v>2043.22</v>
      </c>
      <c r="F5" s="19">
        <v>1450.32</v>
      </c>
      <c r="G5" s="19">
        <v>982.16</v>
      </c>
      <c r="H5" s="19">
        <v>3353.68</v>
      </c>
      <c r="I5" s="19">
        <v>5153.92</v>
      </c>
      <c r="J5" s="19">
        <v>1118.55</v>
      </c>
      <c r="K5" s="19">
        <v>1752.74</v>
      </c>
      <c r="L5" s="19">
        <v>6412.81</v>
      </c>
      <c r="M5" s="51">
        <v>1752.9</v>
      </c>
      <c r="N5" s="313">
        <f t="shared" si="0"/>
        <v>29328.650000000005</v>
      </c>
      <c r="O5" s="19">
        <f>SUM('RC 2004'!B5:M5)</f>
        <v>25922.48</v>
      </c>
      <c r="P5" s="22">
        <f t="shared" ref="P5:P20" si="1">N5/O5-1</f>
        <v>0.13139830756933768</v>
      </c>
    </row>
    <row r="6" spans="1:16">
      <c r="A6" s="267" t="s">
        <v>284</v>
      </c>
      <c r="B6" s="19">
        <v>5417.16</v>
      </c>
      <c r="C6" s="19">
        <v>15088.29</v>
      </c>
      <c r="D6" s="19">
        <v>3534.95</v>
      </c>
      <c r="E6" s="19">
        <v>5298.83</v>
      </c>
      <c r="F6" s="19">
        <v>13415.16</v>
      </c>
      <c r="G6" s="19">
        <v>7496.01</v>
      </c>
      <c r="H6" s="19">
        <v>6098.07</v>
      </c>
      <c r="I6" s="19">
        <v>23028.47</v>
      </c>
      <c r="J6" s="19">
        <v>8908.93</v>
      </c>
      <c r="K6" s="19">
        <v>7348.69</v>
      </c>
      <c r="L6" s="19">
        <v>22994.78</v>
      </c>
      <c r="M6" s="51">
        <v>7460.81</v>
      </c>
      <c r="N6" s="313">
        <f t="shared" si="0"/>
        <v>126090.15</v>
      </c>
      <c r="O6" s="19">
        <f>SUM('RC 2004'!B6:M6)</f>
        <v>116354.43</v>
      </c>
      <c r="P6" s="22">
        <f t="shared" si="1"/>
        <v>8.3672963719559235E-2</v>
      </c>
    </row>
    <row r="7" spans="1:16">
      <c r="A7" s="267" t="s">
        <v>285</v>
      </c>
      <c r="B7" s="19">
        <v>654.62</v>
      </c>
      <c r="C7" s="19">
        <v>4372</v>
      </c>
      <c r="D7" s="19">
        <v>684.26</v>
      </c>
      <c r="E7" s="19">
        <v>815.96</v>
      </c>
      <c r="F7" s="19">
        <v>3350.35</v>
      </c>
      <c r="G7" s="19">
        <v>1241.3499999999999</v>
      </c>
      <c r="H7" s="19">
        <v>3588.58</v>
      </c>
      <c r="I7" s="19">
        <v>10596.7</v>
      </c>
      <c r="J7" s="19">
        <v>5215.71</v>
      </c>
      <c r="K7" s="19">
        <v>7144.53</v>
      </c>
      <c r="L7" s="19">
        <v>12162.52</v>
      </c>
      <c r="M7" s="51">
        <v>1175.1500000000001</v>
      </c>
      <c r="N7" s="313">
        <f t="shared" si="0"/>
        <v>51001.73</v>
      </c>
      <c r="O7" s="19">
        <f>SUM('RC 2004'!B7:M7)</f>
        <v>59469.78</v>
      </c>
      <c r="P7" s="22">
        <f t="shared" si="1"/>
        <v>-0.14239248909277946</v>
      </c>
    </row>
    <row r="8" spans="1:16">
      <c r="A8" s="267" t="s">
        <v>180</v>
      </c>
      <c r="B8" s="19">
        <v>88722.42</v>
      </c>
      <c r="C8" s="19">
        <v>159625.44</v>
      </c>
      <c r="D8" s="19">
        <v>78899.31</v>
      </c>
      <c r="E8" s="19">
        <v>88981.89</v>
      </c>
      <c r="F8" s="19">
        <v>204412.58</v>
      </c>
      <c r="G8" s="19">
        <v>158475.57999999999</v>
      </c>
      <c r="H8" s="19">
        <v>173267.63</v>
      </c>
      <c r="I8" s="19">
        <v>300079.64</v>
      </c>
      <c r="J8" s="19">
        <v>152678.74</v>
      </c>
      <c r="K8" s="19">
        <v>154502.53</v>
      </c>
      <c r="L8" s="19">
        <v>243970.28</v>
      </c>
      <c r="M8" s="51">
        <v>140582.68</v>
      </c>
      <c r="N8" s="313">
        <f t="shared" si="0"/>
        <v>1944198.72</v>
      </c>
      <c r="O8" s="19">
        <f>SUM('RC 2004'!B8:M8)</f>
        <v>1714933.21</v>
      </c>
      <c r="P8" s="22">
        <f t="shared" si="1"/>
        <v>0.13368771953515313</v>
      </c>
    </row>
    <row r="9" spans="1:16">
      <c r="A9" s="267" t="s">
        <v>262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51"/>
      <c r="N9" s="313">
        <f t="shared" si="0"/>
        <v>0</v>
      </c>
      <c r="O9" s="19">
        <f>SUM('RC 2004'!B9:M9)</f>
        <v>0</v>
      </c>
      <c r="P9" s="22" t="e">
        <f t="shared" si="1"/>
        <v>#DIV/0!</v>
      </c>
    </row>
    <row r="10" spans="1:16">
      <c r="A10" s="267" t="s">
        <v>183</v>
      </c>
      <c r="B10" s="19">
        <v>12080.55</v>
      </c>
      <c r="C10" s="19">
        <v>63008.6</v>
      </c>
      <c r="D10" s="19">
        <v>29051.68</v>
      </c>
      <c r="E10" s="19">
        <v>27488.52</v>
      </c>
      <c r="F10" s="19">
        <v>52067.63</v>
      </c>
      <c r="G10" s="19">
        <v>10305.19</v>
      </c>
      <c r="H10" s="19">
        <v>3714.9</v>
      </c>
      <c r="I10" s="19">
        <v>9206.94</v>
      </c>
      <c r="J10" s="19">
        <v>6503.19</v>
      </c>
      <c r="K10" s="19">
        <v>5910.81</v>
      </c>
      <c r="L10" s="19">
        <v>13193.16</v>
      </c>
      <c r="M10" s="51">
        <v>4846.24</v>
      </c>
      <c r="N10" s="313">
        <f t="shared" si="0"/>
        <v>237377.40999999997</v>
      </c>
      <c r="O10" s="19">
        <f>SUM('RC 2004'!B10:M10)</f>
        <v>195256.87000000002</v>
      </c>
      <c r="P10" s="22">
        <f t="shared" si="1"/>
        <v>0.21571860698166434</v>
      </c>
    </row>
    <row r="11" spans="1:16">
      <c r="A11" s="267" t="s">
        <v>188</v>
      </c>
      <c r="B11" s="19">
        <v>28378.65</v>
      </c>
      <c r="C11" s="19">
        <v>46836.24</v>
      </c>
      <c r="D11" s="19">
        <v>20300.2</v>
      </c>
      <c r="E11" s="19">
        <v>20260.849999999999</v>
      </c>
      <c r="F11" s="19">
        <v>43728.65</v>
      </c>
      <c r="G11" s="19">
        <v>30989.21</v>
      </c>
      <c r="H11" s="19">
        <v>30266.09</v>
      </c>
      <c r="I11" s="19">
        <v>71612.31</v>
      </c>
      <c r="J11" s="19">
        <v>35125.64</v>
      </c>
      <c r="K11" s="19">
        <v>50661.04</v>
      </c>
      <c r="L11" s="19">
        <v>71689.5</v>
      </c>
      <c r="M11" s="51">
        <v>33217.43</v>
      </c>
      <c r="N11" s="313">
        <f t="shared" si="0"/>
        <v>483065.80999999994</v>
      </c>
      <c r="O11" s="19">
        <f>SUM('RC 2004'!B11:M11)</f>
        <v>411735.72999999992</v>
      </c>
      <c r="P11" s="22">
        <f t="shared" si="1"/>
        <v>0.17324238535237169</v>
      </c>
    </row>
    <row r="12" spans="1:16">
      <c r="A12" s="267" t="s">
        <v>286</v>
      </c>
      <c r="B12" s="19">
        <v>2474.73</v>
      </c>
      <c r="C12" s="19">
        <v>3599.55</v>
      </c>
      <c r="D12" s="19">
        <v>1507.91</v>
      </c>
      <c r="E12" s="19">
        <v>1888.4</v>
      </c>
      <c r="F12" s="19">
        <v>3408.01</v>
      </c>
      <c r="G12" s="19">
        <v>4970.09</v>
      </c>
      <c r="H12" s="19">
        <v>14695.78</v>
      </c>
      <c r="I12" s="19">
        <v>9734.5499999999993</v>
      </c>
      <c r="J12" s="19">
        <v>8422.9500000000007</v>
      </c>
      <c r="K12" s="19">
        <v>0</v>
      </c>
      <c r="L12" s="19">
        <v>3819.15</v>
      </c>
      <c r="M12" s="51">
        <v>7332.21</v>
      </c>
      <c r="N12" s="313">
        <f t="shared" si="0"/>
        <v>61853.33</v>
      </c>
      <c r="O12" s="19">
        <f>SUM('RC 2004'!B12:M12)</f>
        <v>60308.460000000006</v>
      </c>
      <c r="P12" s="22">
        <f t="shared" si="1"/>
        <v>2.5616140753718319E-2</v>
      </c>
    </row>
    <row r="13" spans="1:16">
      <c r="A13" s="267" t="s">
        <v>287</v>
      </c>
      <c r="B13" s="19">
        <v>3343.1</v>
      </c>
      <c r="C13" s="19">
        <v>4548.2299999999996</v>
      </c>
      <c r="D13" s="19">
        <v>1759.33</v>
      </c>
      <c r="E13" s="19">
        <v>1729.57</v>
      </c>
      <c r="F13" s="19">
        <v>2957.05</v>
      </c>
      <c r="G13" s="19">
        <v>2565.4499999999998</v>
      </c>
      <c r="H13" s="19">
        <v>4582.25</v>
      </c>
      <c r="I13" s="19">
        <v>13450.79</v>
      </c>
      <c r="J13" s="19">
        <v>11560.17</v>
      </c>
      <c r="K13" s="19">
        <v>13889.14</v>
      </c>
      <c r="L13" s="19">
        <v>34228.980000000003</v>
      </c>
      <c r="M13" s="51">
        <v>3671.65</v>
      </c>
      <c r="N13" s="313">
        <f t="shared" si="0"/>
        <v>98285.709999999992</v>
      </c>
      <c r="O13" s="19">
        <f>SUM('RC 2004'!B13:M13)</f>
        <v>77068.540000000008</v>
      </c>
      <c r="P13" s="22">
        <f t="shared" si="1"/>
        <v>0.27530260726361222</v>
      </c>
    </row>
    <row r="14" spans="1:16">
      <c r="A14" s="267" t="s">
        <v>288</v>
      </c>
      <c r="B14" s="19">
        <v>27587.82</v>
      </c>
      <c r="C14" s="19">
        <v>87689.85</v>
      </c>
      <c r="D14" s="19">
        <v>85223.45</v>
      </c>
      <c r="E14" s="19">
        <v>109084.53</v>
      </c>
      <c r="F14" s="19">
        <v>160350.81</v>
      </c>
      <c r="G14" s="19">
        <v>31097.47</v>
      </c>
      <c r="H14" s="19">
        <v>6776.31</v>
      </c>
      <c r="I14" s="19">
        <v>5602.55</v>
      </c>
      <c r="J14" s="19">
        <v>10593.07</v>
      </c>
      <c r="K14" s="19">
        <v>6637.95</v>
      </c>
      <c r="L14" s="19">
        <v>6793.72</v>
      </c>
      <c r="M14" s="51">
        <v>35534.54</v>
      </c>
      <c r="N14" s="313">
        <f t="shared" si="0"/>
        <v>572972.07000000007</v>
      </c>
      <c r="O14" s="19">
        <f>SUM('RC 2004'!B14:M14)</f>
        <v>345577.58</v>
      </c>
      <c r="P14" s="22">
        <f t="shared" si="1"/>
        <v>0.65801285488485695</v>
      </c>
    </row>
    <row r="15" spans="1:16">
      <c r="A15" s="267" t="s">
        <v>209</v>
      </c>
      <c r="B15" s="19">
        <v>2998.83</v>
      </c>
      <c r="C15" s="19">
        <v>11100.92</v>
      </c>
      <c r="D15" s="19">
        <v>3062.86</v>
      </c>
      <c r="E15" s="19">
        <v>3450.35</v>
      </c>
      <c r="F15" s="19">
        <v>7320.97</v>
      </c>
      <c r="G15" s="19">
        <v>4948.3500000000004</v>
      </c>
      <c r="H15" s="19">
        <v>3362.02</v>
      </c>
      <c r="I15" s="19">
        <v>12922.66</v>
      </c>
      <c r="J15" s="19">
        <v>5996.84</v>
      </c>
      <c r="K15" s="19">
        <v>4407.08</v>
      </c>
      <c r="L15" s="19">
        <v>13080.66</v>
      </c>
      <c r="M15" s="51">
        <v>5182.3599999999997</v>
      </c>
      <c r="N15" s="313">
        <f t="shared" si="0"/>
        <v>77833.899999999994</v>
      </c>
      <c r="O15" s="19">
        <f>SUM('RC 2004'!B15:M15)</f>
        <v>62543.62999999999</v>
      </c>
      <c r="P15" s="22">
        <f t="shared" si="1"/>
        <v>0.24447365782894281</v>
      </c>
    </row>
    <row r="16" spans="1:16">
      <c r="A16" s="267" t="s">
        <v>289</v>
      </c>
      <c r="B16" s="19">
        <v>212444.63</v>
      </c>
      <c r="C16" s="19">
        <v>766894.4</v>
      </c>
      <c r="D16" s="19">
        <v>657721.67000000004</v>
      </c>
      <c r="E16" s="19">
        <v>664999.55000000005</v>
      </c>
      <c r="F16" s="19">
        <v>880071.04</v>
      </c>
      <c r="G16" s="19">
        <v>487609.28</v>
      </c>
      <c r="H16" s="19">
        <v>210607.53</v>
      </c>
      <c r="I16" s="19">
        <v>352094.29</v>
      </c>
      <c r="J16" s="19">
        <v>216789.14</v>
      </c>
      <c r="K16" s="19">
        <v>287249.58</v>
      </c>
      <c r="L16" s="19">
        <v>350911.12</v>
      </c>
      <c r="M16" s="51">
        <v>233752.79</v>
      </c>
      <c r="N16" s="313">
        <f t="shared" si="0"/>
        <v>5321145.0199999996</v>
      </c>
      <c r="O16" s="19">
        <f>SUM('RC 2004'!B16:M16)</f>
        <v>4299676.8499999996</v>
      </c>
      <c r="P16" s="22">
        <f t="shared" si="1"/>
        <v>0.23756859076514081</v>
      </c>
    </row>
    <row r="17" spans="1:16">
      <c r="A17" s="267" t="s">
        <v>291</v>
      </c>
      <c r="B17" s="19">
        <v>5282.88</v>
      </c>
      <c r="C17" s="19">
        <v>3093.85</v>
      </c>
      <c r="D17" s="19">
        <v>2068.58</v>
      </c>
      <c r="E17" s="19">
        <v>833.21</v>
      </c>
      <c r="F17" s="19">
        <v>4856.26</v>
      </c>
      <c r="G17" s="19">
        <v>2657.35</v>
      </c>
      <c r="H17" s="19">
        <v>1773.24</v>
      </c>
      <c r="I17" s="19">
        <v>2130</v>
      </c>
      <c r="J17" s="19">
        <v>2997.72</v>
      </c>
      <c r="K17" s="19">
        <v>3067.76</v>
      </c>
      <c r="L17" s="19">
        <v>2672.75</v>
      </c>
      <c r="M17" s="51">
        <v>3193.4</v>
      </c>
      <c r="N17" s="313">
        <f>SUM(B17:M17)</f>
        <v>34627.000000000007</v>
      </c>
      <c r="O17" s="19">
        <f>SUM('RC 2004'!B17:M17)</f>
        <v>202931.02000000002</v>
      </c>
      <c r="P17" s="22">
        <f t="shared" si="1"/>
        <v>-0.82936566326823757</v>
      </c>
    </row>
    <row r="18" spans="1:16">
      <c r="A18" s="267" t="s">
        <v>238</v>
      </c>
      <c r="B18" s="19">
        <v>17676.68</v>
      </c>
      <c r="C18" s="19">
        <v>36349.14</v>
      </c>
      <c r="D18" s="19">
        <v>10988.8</v>
      </c>
      <c r="E18" s="19">
        <v>9764.4699999999993</v>
      </c>
      <c r="F18" s="19">
        <v>33857.4</v>
      </c>
      <c r="G18" s="19">
        <v>34024.18</v>
      </c>
      <c r="H18" s="19">
        <v>43948.82</v>
      </c>
      <c r="I18" s="19">
        <v>96819.69</v>
      </c>
      <c r="J18" s="19">
        <v>35470.89</v>
      </c>
      <c r="K18" s="19">
        <v>47067.62</v>
      </c>
      <c r="L18" s="19">
        <v>87098.06</v>
      </c>
      <c r="M18" s="51">
        <v>39768.800000000003</v>
      </c>
      <c r="N18" s="313">
        <f t="shared" si="0"/>
        <v>492834.55</v>
      </c>
      <c r="O18" s="19">
        <f>SUM('RC 2004'!B18:M18)</f>
        <v>462320.31</v>
      </c>
      <c r="P18" s="22">
        <f t="shared" si="1"/>
        <v>6.6002378307801424E-2</v>
      </c>
    </row>
    <row r="19" spans="1:16">
      <c r="A19" s="301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15"/>
      <c r="N19" s="316"/>
      <c r="O19" s="302">
        <f>SUM('RC 2003'!B18:B18)</f>
        <v>0</v>
      </c>
      <c r="P19" s="305"/>
    </row>
    <row r="20" spans="1:16" ht="13" thickBot="1">
      <c r="A20" s="275" t="s">
        <v>54</v>
      </c>
      <c r="B20" s="306">
        <f t="shared" ref="B20:N20" si="2">SUM(B4:B18)</f>
        <v>423297.95</v>
      </c>
      <c r="C20" s="306">
        <f t="shared" si="2"/>
        <v>1228793.3599999999</v>
      </c>
      <c r="D20" s="306">
        <f t="shared" si="2"/>
        <v>907364.17</v>
      </c>
      <c r="E20" s="306">
        <f t="shared" si="2"/>
        <v>949007.1</v>
      </c>
      <c r="F20" s="306">
        <f t="shared" si="2"/>
        <v>1430062.88</v>
      </c>
      <c r="G20" s="306">
        <f t="shared" si="2"/>
        <v>802254.38</v>
      </c>
      <c r="H20" s="306">
        <f t="shared" si="2"/>
        <v>529417.55999999994</v>
      </c>
      <c r="I20" s="306">
        <f t="shared" si="2"/>
        <v>957281.25999999978</v>
      </c>
      <c r="J20" s="306">
        <f t="shared" si="2"/>
        <v>528500.37</v>
      </c>
      <c r="K20" s="306">
        <f t="shared" si="2"/>
        <v>616229.53</v>
      </c>
      <c r="L20" s="306">
        <f t="shared" si="2"/>
        <v>914566.59999999986</v>
      </c>
      <c r="M20" s="319">
        <f t="shared" si="2"/>
        <v>535703.41</v>
      </c>
      <c r="N20" s="317">
        <f t="shared" si="2"/>
        <v>9822478.5700000003</v>
      </c>
      <c r="O20" s="96">
        <f>SUM('RC 2004'!B20:M20)</f>
        <v>8312566.3500000006</v>
      </c>
      <c r="P20" s="309">
        <f t="shared" si="1"/>
        <v>0.18164212547909453</v>
      </c>
    </row>
    <row r="21" spans="1:16">
      <c r="A21" s="276" t="s">
        <v>265</v>
      </c>
      <c r="B21" s="318">
        <f>B20/'RC 2004'!B20-1</f>
        <v>0.12158923472612893</v>
      </c>
      <c r="C21" s="318">
        <f>C20/'RC 2004'!C20-1</f>
        <v>0.32557849899193236</v>
      </c>
      <c r="D21" s="318">
        <f>D20/'RC 2004'!D20-1</f>
        <v>0.12814435566183802</v>
      </c>
      <c r="E21" s="318">
        <f>E20/'RC 2004'!E20-1</f>
        <v>0.11768746375787109</v>
      </c>
      <c r="F21" s="318">
        <f>F20/'RC 2004'!F20-1</f>
        <v>0.33010066735843102</v>
      </c>
      <c r="G21" s="318">
        <f>G20/'RC 2004'!G20-1</f>
        <v>0.48092907879053493</v>
      </c>
      <c r="H21" s="318">
        <f>H20/'RC 2004'!H20-1</f>
        <v>4.8201970534542671E-2</v>
      </c>
      <c r="I21" s="318">
        <f>I20/'RC 2004'!I20-1</f>
        <v>0.18142280251118637</v>
      </c>
      <c r="J21" s="318">
        <f>J20/'RC 2004'!J20-1</f>
        <v>-0.16813747780120936</v>
      </c>
      <c r="K21" s="318">
        <f>K20/'RC 2004'!K20-1</f>
        <v>0.3355484994351392</v>
      </c>
      <c r="L21" s="318">
        <f>L20/'RC 2004'!L20-1</f>
        <v>8.502230154613577E-2</v>
      </c>
      <c r="M21" s="318">
        <f>M20/'RC 2004'!M20-1</f>
        <v>0.10926508332594276</v>
      </c>
      <c r="N21" s="318">
        <f>N20/'RC 2004'!N20-1</f>
        <v>0.18164212547909497</v>
      </c>
      <c r="O21" s="1"/>
      <c r="P21" s="1"/>
    </row>
    <row r="24" spans="1:16">
      <c r="J24" s="100"/>
    </row>
  </sheetData>
  <mergeCells count="1">
    <mergeCell ref="A1:P1"/>
  </mergeCells>
  <pageMargins left="0.25" right="0.25" top="1" bottom="1" header="0.5" footer="0.5"/>
  <pageSetup scale="9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 enableFormatConditionsCalculation="0">
    <tabColor rgb="FF7030A0"/>
  </sheetPr>
  <dimension ref="A1:P21"/>
  <sheetViews>
    <sheetView workbookViewId="0">
      <selection activeCell="H50" sqref="H50"/>
    </sheetView>
  </sheetViews>
  <sheetFormatPr baseColWidth="10" defaultColWidth="8.83203125" defaultRowHeight="12" x14ac:dyDescent="0"/>
  <sheetData>
    <row r="1" spans="1:16" ht="23">
      <c r="A1" s="711" t="s">
        <v>306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</row>
    <row r="2" spans="1:16" ht="13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310" t="s">
        <v>13</v>
      </c>
      <c r="N3" s="311" t="s">
        <v>63</v>
      </c>
      <c r="O3" s="251" t="s">
        <v>47</v>
      </c>
      <c r="P3" s="253" t="s">
        <v>16</v>
      </c>
    </row>
    <row r="4" spans="1:16">
      <c r="A4" s="267" t="s">
        <v>176</v>
      </c>
      <c r="B4" s="19">
        <v>17212.36</v>
      </c>
      <c r="C4" s="19">
        <v>25023.64</v>
      </c>
      <c r="D4" s="19">
        <v>13919.9</v>
      </c>
      <c r="E4" s="19">
        <v>11486.3</v>
      </c>
      <c r="F4" s="19">
        <v>21851.07</v>
      </c>
      <c r="G4" s="19">
        <v>17922.849999999999</v>
      </c>
      <c r="H4" s="19">
        <v>19622.55</v>
      </c>
      <c r="I4" s="19">
        <v>45045.55</v>
      </c>
      <c r="J4" s="19">
        <v>23964.400000000001</v>
      </c>
      <c r="K4" s="19">
        <v>24951.34</v>
      </c>
      <c r="L4" s="19">
        <v>39020.160000000003</v>
      </c>
      <c r="M4" s="51">
        <v>18447.34</v>
      </c>
      <c r="N4" s="313">
        <f t="shared" ref="N4:N18" si="0">SUM(B4:M4)</f>
        <v>278467.46000000002</v>
      </c>
      <c r="O4" s="19">
        <f>SUM('RC 2003'!B4:M4)</f>
        <v>207423.09</v>
      </c>
      <c r="P4" s="22">
        <f>N4/O4-1</f>
        <v>0.3425094573607983</v>
      </c>
    </row>
    <row r="5" spans="1:16">
      <c r="A5" s="267" t="s">
        <v>282</v>
      </c>
      <c r="B5" s="19">
        <v>312.68</v>
      </c>
      <c r="C5" s="19">
        <v>2803.6</v>
      </c>
      <c r="D5" s="19">
        <v>276.39</v>
      </c>
      <c r="E5" s="19">
        <v>303.42</v>
      </c>
      <c r="F5" s="19">
        <v>1784.57</v>
      </c>
      <c r="G5" s="19">
        <v>1052.32</v>
      </c>
      <c r="H5" s="19">
        <v>2582.9499999999998</v>
      </c>
      <c r="I5" s="19">
        <v>5348.77</v>
      </c>
      <c r="J5" s="19">
        <v>1481.64</v>
      </c>
      <c r="K5" s="19">
        <v>3488.7</v>
      </c>
      <c r="L5" s="19">
        <v>5949.67</v>
      </c>
      <c r="M5" s="51">
        <v>537.77</v>
      </c>
      <c r="N5" s="313">
        <f t="shared" si="0"/>
        <v>25922.48</v>
      </c>
      <c r="O5" s="19">
        <f>SUM('RC 2003'!B5:M5)</f>
        <v>18261.36</v>
      </c>
      <c r="P5" s="22">
        <f t="shared" ref="P5:P20" si="1">N5/O5-1</f>
        <v>0.41952625653291964</v>
      </c>
    </row>
    <row r="6" spans="1:16">
      <c r="A6" s="267" t="s">
        <v>284</v>
      </c>
      <c r="B6" s="19">
        <v>4516.99</v>
      </c>
      <c r="C6" s="19">
        <v>14369.58</v>
      </c>
      <c r="D6" s="19">
        <v>3446.44</v>
      </c>
      <c r="E6" s="19">
        <v>3342.53</v>
      </c>
      <c r="F6" s="19">
        <v>10789.25</v>
      </c>
      <c r="G6" s="19">
        <v>5263.73</v>
      </c>
      <c r="H6" s="19">
        <v>5580.34</v>
      </c>
      <c r="I6" s="19">
        <v>21168.54</v>
      </c>
      <c r="J6" s="19">
        <v>6365.34</v>
      </c>
      <c r="K6" s="19">
        <v>8832.39</v>
      </c>
      <c r="L6" s="19">
        <v>24712.25</v>
      </c>
      <c r="M6" s="51">
        <v>7967.05</v>
      </c>
      <c r="N6" s="313">
        <f t="shared" si="0"/>
        <v>116354.43</v>
      </c>
      <c r="O6" s="19">
        <f>SUM('RC 2003'!B6:M6)</f>
        <v>104462.63999999998</v>
      </c>
      <c r="P6" s="22">
        <f t="shared" si="1"/>
        <v>0.11383773184365253</v>
      </c>
    </row>
    <row r="7" spans="1:16">
      <c r="A7" s="267" t="s">
        <v>285</v>
      </c>
      <c r="B7" s="19">
        <v>1550.8</v>
      </c>
      <c r="C7" s="19">
        <v>2977.36</v>
      </c>
      <c r="D7" s="19">
        <v>1876.58</v>
      </c>
      <c r="E7" s="19">
        <v>1450.59</v>
      </c>
      <c r="F7" s="19">
        <v>3067.03</v>
      </c>
      <c r="G7" s="19">
        <v>3280.15</v>
      </c>
      <c r="H7" s="19">
        <v>1060.8599999999999</v>
      </c>
      <c r="I7" s="19">
        <v>18583.16</v>
      </c>
      <c r="J7" s="19">
        <v>1801.95</v>
      </c>
      <c r="K7" s="19">
        <v>21740.04</v>
      </c>
      <c r="L7" s="19">
        <v>1504.21</v>
      </c>
      <c r="M7" s="51">
        <v>577.04999999999995</v>
      </c>
      <c r="N7" s="313">
        <f t="shared" si="0"/>
        <v>59469.78</v>
      </c>
      <c r="O7" s="19">
        <f>SUM('RC 2003'!B7:M7)</f>
        <v>31895.469999999998</v>
      </c>
      <c r="P7" s="22">
        <f t="shared" si="1"/>
        <v>0.86452120003248112</v>
      </c>
    </row>
    <row r="8" spans="1:16">
      <c r="A8" s="267" t="s">
        <v>180</v>
      </c>
      <c r="B8" s="19">
        <v>73276.649999999994</v>
      </c>
      <c r="C8" s="19">
        <v>142259.47</v>
      </c>
      <c r="D8" s="19">
        <v>56649.55</v>
      </c>
      <c r="E8" s="19">
        <v>90246.99</v>
      </c>
      <c r="F8" s="19">
        <v>150003.07</v>
      </c>
      <c r="G8" s="19">
        <v>156541.22</v>
      </c>
      <c r="H8" s="19">
        <v>152128.47</v>
      </c>
      <c r="I8" s="19">
        <v>263185.08</v>
      </c>
      <c r="J8" s="19">
        <v>124932.91</v>
      </c>
      <c r="K8" s="19">
        <v>131672</v>
      </c>
      <c r="L8" s="19">
        <v>232452.78</v>
      </c>
      <c r="M8" s="51">
        <v>141585.01999999999</v>
      </c>
      <c r="N8" s="313">
        <f t="shared" si="0"/>
        <v>1714933.21</v>
      </c>
      <c r="O8" s="19">
        <f>SUM('RC 2003'!B8:M8)</f>
        <v>1581197.22</v>
      </c>
      <c r="P8" s="22">
        <f t="shared" si="1"/>
        <v>8.4578943289566277E-2</v>
      </c>
    </row>
    <row r="9" spans="1:16">
      <c r="A9" s="267" t="s">
        <v>262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51"/>
      <c r="N9" s="313">
        <f t="shared" si="0"/>
        <v>0</v>
      </c>
      <c r="O9" s="19">
        <f>SUM('RC 2003'!B9:M9)</f>
        <v>29329.200000000001</v>
      </c>
      <c r="P9" s="22">
        <f t="shared" si="1"/>
        <v>-1</v>
      </c>
    </row>
    <row r="10" spans="1:16">
      <c r="A10" s="267" t="s">
        <v>183</v>
      </c>
      <c r="B10" s="19">
        <v>7465.72</v>
      </c>
      <c r="C10" s="19">
        <v>40551.21</v>
      </c>
      <c r="D10" s="19">
        <v>25067</v>
      </c>
      <c r="E10" s="19">
        <v>23600.28</v>
      </c>
      <c r="F10" s="19">
        <v>54298.12</v>
      </c>
      <c r="G10" s="19">
        <v>6737.53</v>
      </c>
      <c r="H10" s="19">
        <v>3585.29</v>
      </c>
      <c r="I10" s="19">
        <v>9772.6</v>
      </c>
      <c r="J10" s="19">
        <v>3612.51</v>
      </c>
      <c r="K10" s="19">
        <v>3550.63</v>
      </c>
      <c r="L10" s="19">
        <v>13618.34</v>
      </c>
      <c r="M10" s="51">
        <v>3397.64</v>
      </c>
      <c r="N10" s="313">
        <f t="shared" si="0"/>
        <v>195256.87000000002</v>
      </c>
      <c r="O10" s="19">
        <f>SUM('RC 2003'!B10:M10)</f>
        <v>182578.04</v>
      </c>
      <c r="P10" s="22">
        <f t="shared" si="1"/>
        <v>6.9443345979615101E-2</v>
      </c>
    </row>
    <row r="11" spans="1:16">
      <c r="A11" s="267" t="s">
        <v>188</v>
      </c>
      <c r="B11" s="19">
        <v>19756.57</v>
      </c>
      <c r="C11" s="19">
        <v>39614.639999999999</v>
      </c>
      <c r="D11" s="19">
        <v>22902.34</v>
      </c>
      <c r="E11" s="19">
        <v>21469.61</v>
      </c>
      <c r="F11" s="19">
        <v>29930.959999999999</v>
      </c>
      <c r="G11" s="19">
        <v>31611.77</v>
      </c>
      <c r="H11" s="19">
        <v>37970.15</v>
      </c>
      <c r="I11" s="19">
        <v>55512.17</v>
      </c>
      <c r="J11" s="19">
        <v>35858.800000000003</v>
      </c>
      <c r="K11" s="19">
        <v>31508.07</v>
      </c>
      <c r="L11" s="19">
        <v>61793.48</v>
      </c>
      <c r="M11" s="51">
        <v>23807.17</v>
      </c>
      <c r="N11" s="313">
        <f t="shared" si="0"/>
        <v>411735.72999999992</v>
      </c>
      <c r="O11" s="19">
        <f>SUM('RC 2003'!B11:M11)</f>
        <v>381405.64</v>
      </c>
      <c r="P11" s="22">
        <f t="shared" si="1"/>
        <v>7.9521870730595134E-2</v>
      </c>
    </row>
    <row r="12" spans="1:16">
      <c r="A12" s="267" t="s">
        <v>286</v>
      </c>
      <c r="B12" s="19">
        <v>2611.52</v>
      </c>
      <c r="C12" s="19">
        <v>3596.73</v>
      </c>
      <c r="D12" s="19">
        <v>1660.87</v>
      </c>
      <c r="E12" s="19">
        <v>1824.45</v>
      </c>
      <c r="F12" s="19">
        <v>2810.29</v>
      </c>
      <c r="G12" s="19">
        <v>4823.49</v>
      </c>
      <c r="H12" s="19">
        <v>4812.6499999999996</v>
      </c>
      <c r="I12" s="19">
        <v>8073.01</v>
      </c>
      <c r="J12" s="19">
        <v>8548.57</v>
      </c>
      <c r="K12" s="19">
        <v>5698.72</v>
      </c>
      <c r="L12" s="19">
        <v>11349.76</v>
      </c>
      <c r="M12" s="51">
        <v>4498.3999999999996</v>
      </c>
      <c r="N12" s="313">
        <f t="shared" si="0"/>
        <v>60308.460000000006</v>
      </c>
      <c r="O12" s="19">
        <f>SUM('RC 2003'!B12:M12)</f>
        <v>48646.9</v>
      </c>
      <c r="P12" s="22">
        <f t="shared" si="1"/>
        <v>0.23971846099134786</v>
      </c>
    </row>
    <row r="13" spans="1:16">
      <c r="A13" s="267" t="s">
        <v>287</v>
      </c>
      <c r="B13" s="19">
        <v>1575.68</v>
      </c>
      <c r="C13" s="19">
        <v>4204.22</v>
      </c>
      <c r="D13" s="19">
        <v>2270.21</v>
      </c>
      <c r="E13" s="19">
        <v>853.38</v>
      </c>
      <c r="F13" s="19">
        <v>2571.14</v>
      </c>
      <c r="G13" s="19">
        <v>2876.87</v>
      </c>
      <c r="H13" s="19">
        <v>3245.24</v>
      </c>
      <c r="I13" s="19">
        <v>15358.41</v>
      </c>
      <c r="J13" s="19">
        <v>25311.77</v>
      </c>
      <c r="K13" s="19">
        <v>0</v>
      </c>
      <c r="L13" s="19">
        <v>15478.85</v>
      </c>
      <c r="M13" s="51">
        <v>3322.77</v>
      </c>
      <c r="N13" s="313">
        <f t="shared" si="0"/>
        <v>77068.540000000008</v>
      </c>
      <c r="O13" s="19">
        <f>SUM('RC 2003'!B13:M13)</f>
        <v>69799.69</v>
      </c>
      <c r="P13" s="22">
        <f t="shared" si="1"/>
        <v>0.10413871465618274</v>
      </c>
    </row>
    <row r="14" spans="1:16">
      <c r="A14" s="267" t="s">
        <v>288</v>
      </c>
      <c r="B14" s="19">
        <v>13255.27</v>
      </c>
      <c r="C14" s="19">
        <v>30849.95</v>
      </c>
      <c r="D14" s="19">
        <v>61114.76</v>
      </c>
      <c r="E14" s="19">
        <v>82607.789999999994</v>
      </c>
      <c r="F14" s="19">
        <v>91423.28</v>
      </c>
      <c r="G14" s="19">
        <v>21576.07</v>
      </c>
      <c r="H14" s="19">
        <v>3089.04</v>
      </c>
      <c r="I14" s="19">
        <v>3418.37</v>
      </c>
      <c r="J14" s="19">
        <v>4279.42</v>
      </c>
      <c r="K14" s="19">
        <v>11360.74</v>
      </c>
      <c r="L14" s="19">
        <v>16193.11</v>
      </c>
      <c r="M14" s="51">
        <v>6409.78</v>
      </c>
      <c r="N14" s="313">
        <f t="shared" si="0"/>
        <v>345577.58</v>
      </c>
      <c r="O14" s="19">
        <f>SUM('RC 2003'!B14:M14)</f>
        <v>303891.77</v>
      </c>
      <c r="P14" s="22">
        <f t="shared" si="1"/>
        <v>0.13717321137061389</v>
      </c>
    </row>
    <row r="15" spans="1:16">
      <c r="A15" s="267" t="s">
        <v>209</v>
      </c>
      <c r="B15" s="19">
        <v>2691.14</v>
      </c>
      <c r="C15" s="19">
        <v>7565.29</v>
      </c>
      <c r="D15" s="19">
        <v>1436.71</v>
      </c>
      <c r="E15" s="19">
        <v>3543.71</v>
      </c>
      <c r="F15" s="19">
        <v>7707.9</v>
      </c>
      <c r="G15" s="19">
        <v>4473.3100000000004</v>
      </c>
      <c r="H15" s="19">
        <v>1781.31</v>
      </c>
      <c r="I15" s="19">
        <v>11680.66</v>
      </c>
      <c r="J15" s="19">
        <v>3342.63</v>
      </c>
      <c r="K15" s="19">
        <v>3006.66</v>
      </c>
      <c r="L15" s="19">
        <v>11806</v>
      </c>
      <c r="M15" s="51">
        <v>3508.31</v>
      </c>
      <c r="N15" s="313">
        <f t="shared" si="0"/>
        <v>62543.62999999999</v>
      </c>
      <c r="O15" s="19">
        <f>SUM('RC 2003'!B15:M15)</f>
        <v>61809.34</v>
      </c>
      <c r="P15" s="22">
        <f t="shared" si="1"/>
        <v>1.1879919766171199E-2</v>
      </c>
    </row>
    <row r="16" spans="1:16">
      <c r="A16" s="267" t="s">
        <v>289</v>
      </c>
      <c r="B16" s="19">
        <v>214158.94</v>
      </c>
      <c r="C16" s="19">
        <v>567507.93000000005</v>
      </c>
      <c r="D16" s="19">
        <v>604681.96</v>
      </c>
      <c r="E16" s="19">
        <v>589217.54</v>
      </c>
      <c r="F16" s="19">
        <v>531525.85</v>
      </c>
      <c r="G16" s="19">
        <v>254019.28</v>
      </c>
      <c r="H16" s="19">
        <v>231781.96</v>
      </c>
      <c r="I16" s="19">
        <v>220747.62</v>
      </c>
      <c r="J16" s="19">
        <v>357328.65</v>
      </c>
      <c r="K16" s="19">
        <v>175796.78</v>
      </c>
      <c r="L16" s="19">
        <v>334031.17</v>
      </c>
      <c r="M16" s="51">
        <v>218879.17</v>
      </c>
      <c r="N16" s="313">
        <f t="shared" si="0"/>
        <v>4299676.8499999996</v>
      </c>
      <c r="O16" s="19">
        <f>SUM('RC 2003'!B16:M16)</f>
        <v>4023034.7400000007</v>
      </c>
      <c r="P16" s="22">
        <f t="shared" si="1"/>
        <v>6.8764534208322292E-2</v>
      </c>
    </row>
    <row r="17" spans="1:16">
      <c r="A17" s="267" t="s">
        <v>291</v>
      </c>
      <c r="B17" s="19"/>
      <c r="C17" s="19">
        <v>20.75</v>
      </c>
      <c r="D17" s="19">
        <v>4.9400000000000004</v>
      </c>
      <c r="E17" s="19"/>
      <c r="F17" s="19">
        <v>132419.81</v>
      </c>
      <c r="G17" s="19">
        <v>24504.14</v>
      </c>
      <c r="H17" s="19">
        <v>16224.07</v>
      </c>
      <c r="I17" s="19">
        <v>22801.62</v>
      </c>
      <c r="J17" s="19">
        <v>1833.08</v>
      </c>
      <c r="K17" s="19">
        <v>2072.92</v>
      </c>
      <c r="L17" s="19">
        <v>2239.67</v>
      </c>
      <c r="M17" s="51">
        <v>810.02</v>
      </c>
      <c r="N17" s="313">
        <f>SUM(B17:M17)</f>
        <v>202931.02000000002</v>
      </c>
      <c r="O17" s="39" t="s">
        <v>46</v>
      </c>
      <c r="P17" s="22"/>
    </row>
    <row r="18" spans="1:16">
      <c r="A18" s="267" t="s">
        <v>238</v>
      </c>
      <c r="B18" s="19">
        <v>19024.75</v>
      </c>
      <c r="C18" s="19">
        <v>45642.12</v>
      </c>
      <c r="D18" s="19">
        <v>8990.2800000000007</v>
      </c>
      <c r="E18" s="19">
        <v>19134.330000000002</v>
      </c>
      <c r="F18" s="19">
        <v>34971.53</v>
      </c>
      <c r="G18" s="19">
        <v>7040.97</v>
      </c>
      <c r="H18" s="19">
        <v>21607.21</v>
      </c>
      <c r="I18" s="19">
        <v>109582.74</v>
      </c>
      <c r="J18" s="19">
        <v>36660.1</v>
      </c>
      <c r="K18" s="19">
        <v>37726.589999999997</v>
      </c>
      <c r="L18" s="19">
        <v>72751.75</v>
      </c>
      <c r="M18" s="51">
        <v>49187.94</v>
      </c>
      <c r="N18" s="313">
        <f t="shared" si="0"/>
        <v>462320.31</v>
      </c>
      <c r="O18" s="19">
        <f>SUM('RC 2003'!B17:M17)</f>
        <v>384056.50999999995</v>
      </c>
      <c r="P18" s="22">
        <f t="shared" si="1"/>
        <v>0.20378199031179056</v>
      </c>
    </row>
    <row r="19" spans="1:16">
      <c r="A19" s="301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15"/>
      <c r="N19" s="316"/>
      <c r="O19" s="302">
        <f>SUM('RC 2003'!B18:B18)</f>
        <v>0</v>
      </c>
      <c r="P19" s="305"/>
    </row>
    <row r="20" spans="1:16" ht="13" thickBot="1">
      <c r="A20" s="275" t="s">
        <v>54</v>
      </c>
      <c r="B20" s="306">
        <f t="shared" ref="B20:N20" si="2">SUM(B4:B18)</f>
        <v>377409.07</v>
      </c>
      <c r="C20" s="306">
        <f t="shared" si="2"/>
        <v>926986.49</v>
      </c>
      <c r="D20" s="306">
        <f t="shared" si="2"/>
        <v>804297.92999999993</v>
      </c>
      <c r="E20" s="306">
        <f t="shared" si="2"/>
        <v>849080.92</v>
      </c>
      <c r="F20" s="306">
        <f t="shared" si="2"/>
        <v>1075153.8700000001</v>
      </c>
      <c r="G20" s="306">
        <f t="shared" si="2"/>
        <v>541723.69999999995</v>
      </c>
      <c r="H20" s="306">
        <f t="shared" si="2"/>
        <v>505072.09</v>
      </c>
      <c r="I20" s="306">
        <f t="shared" si="2"/>
        <v>810278.29999999993</v>
      </c>
      <c r="J20" s="306">
        <f t="shared" si="2"/>
        <v>635321.77</v>
      </c>
      <c r="K20" s="306">
        <f t="shared" si="2"/>
        <v>461405.57999999996</v>
      </c>
      <c r="L20" s="306">
        <f t="shared" si="2"/>
        <v>842901.20000000007</v>
      </c>
      <c r="M20" s="319">
        <f t="shared" si="2"/>
        <v>482935.43</v>
      </c>
      <c r="N20" s="317">
        <f t="shared" si="2"/>
        <v>8312566.3499999987</v>
      </c>
      <c r="O20" s="96">
        <f>SUM('RC 2003'!B19:M19)</f>
        <v>7427791.6100000013</v>
      </c>
      <c r="P20" s="309">
        <f t="shared" si="1"/>
        <v>0.11911679627748706</v>
      </c>
    </row>
    <row r="21" spans="1:16">
      <c r="A21" s="276" t="s">
        <v>265</v>
      </c>
      <c r="B21" s="320">
        <f>B20/'RC 2003'!B19-1</f>
        <v>1.7317980269627054E-2</v>
      </c>
      <c r="C21" s="320">
        <f>C20/'RC 2003'!C19-1</f>
        <v>-4.6160652697391558E-2</v>
      </c>
      <c r="D21" s="320">
        <f>D20/'RC 2003'!D19-1</f>
        <v>0.12813393025045383</v>
      </c>
      <c r="E21" s="320">
        <f>E20/'RC 2003'!E19-1</f>
        <v>0.1902333516766932</v>
      </c>
      <c r="F21" s="320">
        <f>F20/'RC 2003'!F19-1</f>
        <v>-2.9800314014558071E-2</v>
      </c>
      <c r="G21" s="320">
        <f>G20/'RC 2003'!G19-1</f>
        <v>0.50052481447017683</v>
      </c>
      <c r="H21" s="320">
        <f>H20/'RC 2003'!H19-1</f>
        <v>0.51023220168798922</v>
      </c>
      <c r="I21" s="320">
        <f>I20/'RC 2003'!I19-1</f>
        <v>5.3825771572185044E-2</v>
      </c>
      <c r="J21" s="320">
        <f>J20/'RC 2003'!J19-1</f>
        <v>0.43793750289988087</v>
      </c>
      <c r="K21" s="320">
        <f>K20/'RC 2003'!K19-1</f>
        <v>-5.3688131046406573E-2</v>
      </c>
      <c r="L21" s="320">
        <f>L20/'RC 2003'!L19-1</f>
        <v>0.12291154602944965</v>
      </c>
      <c r="M21" s="320">
        <f>M20/'RC 2003'!M19-1</f>
        <v>0.18930871435580165</v>
      </c>
      <c r="N21" s="320">
        <f>N20/'RC 2003'!N19-1</f>
        <v>0.11911679627748728</v>
      </c>
      <c r="O21" s="1"/>
      <c r="P21" s="1"/>
    </row>
  </sheetData>
  <mergeCells count="1">
    <mergeCell ref="A1:P1"/>
  </mergeCells>
  <pageMargins left="0.25" right="0.25" top="1" bottom="1" header="0.5" footer="0.5"/>
  <pageSetup scale="9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 enableFormatConditionsCalculation="0">
    <tabColor rgb="FF7030A0"/>
    <pageSetUpPr fitToPage="1"/>
  </sheetPr>
  <dimension ref="A1:P20"/>
  <sheetViews>
    <sheetView workbookViewId="0">
      <selection activeCell="H50" sqref="H50"/>
    </sheetView>
  </sheetViews>
  <sheetFormatPr baseColWidth="10" defaultColWidth="9.1640625" defaultRowHeight="10" x14ac:dyDescent="0"/>
  <cols>
    <col min="1" max="1" width="12.5" style="1" bestFit="1" customWidth="1"/>
    <col min="2" max="5" width="7.6640625" style="1" customWidth="1"/>
    <col min="6" max="6" width="8.6640625" style="1" bestFit="1" customWidth="1"/>
    <col min="7" max="13" width="7.6640625" style="1" customWidth="1"/>
    <col min="14" max="14" width="8.6640625" style="1" customWidth="1"/>
    <col min="15" max="15" width="8.6640625" style="1" bestFit="1" customWidth="1"/>
    <col min="16" max="16" width="9" style="1" bestFit="1" customWidth="1"/>
    <col min="17" max="16384" width="9.1640625" style="1"/>
  </cols>
  <sheetData>
    <row r="1" spans="1:16" ht="23">
      <c r="A1" s="711" t="s">
        <v>307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</row>
    <row r="2" spans="1:16" ht="11" thickBot="1"/>
    <row r="3" spans="1:16" s="47" customFormat="1" ht="11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310" t="s">
        <v>13</v>
      </c>
      <c r="N3" s="311" t="s">
        <v>47</v>
      </c>
      <c r="O3" s="251" t="s">
        <v>14</v>
      </c>
      <c r="P3" s="253" t="s">
        <v>16</v>
      </c>
    </row>
    <row r="4" spans="1:16">
      <c r="A4" s="267" t="s">
        <v>176</v>
      </c>
      <c r="B4" s="19">
        <v>8419.9500000000007</v>
      </c>
      <c r="C4" s="19">
        <v>13052.81</v>
      </c>
      <c r="D4" s="19">
        <v>11458.94</v>
      </c>
      <c r="E4" s="19">
        <v>4680.71</v>
      </c>
      <c r="F4" s="19">
        <v>14719.88</v>
      </c>
      <c r="G4" s="19">
        <v>2282.14</v>
      </c>
      <c r="H4" s="19">
        <v>16576.099999999999</v>
      </c>
      <c r="I4" s="19">
        <v>35682.870000000003</v>
      </c>
      <c r="J4" s="19">
        <v>27257.439999999999</v>
      </c>
      <c r="K4" s="19">
        <v>18350</v>
      </c>
      <c r="L4" s="19">
        <v>38396</v>
      </c>
      <c r="M4" s="51">
        <v>16546.25</v>
      </c>
      <c r="N4" s="313">
        <f t="shared" ref="N4:N17" si="0">SUM(B4:M4)</f>
        <v>207423.09</v>
      </c>
      <c r="O4" s="19">
        <f>SUM('RC 2002'!B4:M4)</f>
        <v>139022.58000000002</v>
      </c>
      <c r="P4" s="22">
        <f>N4/O4-1</f>
        <v>0.49201007491013304</v>
      </c>
    </row>
    <row r="5" spans="1:16">
      <c r="A5" s="267" t="s">
        <v>282</v>
      </c>
      <c r="B5" s="19">
        <v>1837.84</v>
      </c>
      <c r="C5" s="19">
        <v>792.62</v>
      </c>
      <c r="D5" s="19">
        <v>598.97</v>
      </c>
      <c r="E5" s="19">
        <v>426.04</v>
      </c>
      <c r="F5" s="19">
        <v>2410.0700000000002</v>
      </c>
      <c r="G5" s="19">
        <v>0</v>
      </c>
      <c r="H5" s="19">
        <v>653.23</v>
      </c>
      <c r="I5" s="19">
        <v>4965.9799999999996</v>
      </c>
      <c r="J5" s="19">
        <v>411.65</v>
      </c>
      <c r="K5" s="19">
        <v>430</v>
      </c>
      <c r="L5" s="19">
        <v>4683</v>
      </c>
      <c r="M5" s="51">
        <v>1051.96</v>
      </c>
      <c r="N5" s="313">
        <f t="shared" si="0"/>
        <v>18261.36</v>
      </c>
      <c r="O5" s="19">
        <f>SUM('RC 2002'!B5:M5)</f>
        <v>18552.12</v>
      </c>
      <c r="P5" s="22">
        <f t="shared" ref="P5:P19" si="1">N5/O5-1</f>
        <v>-1.5672602376439859E-2</v>
      </c>
    </row>
    <row r="6" spans="1:16">
      <c r="A6" s="267" t="s">
        <v>284</v>
      </c>
      <c r="B6" s="19">
        <v>3733.75</v>
      </c>
      <c r="C6" s="19">
        <v>11923.69</v>
      </c>
      <c r="D6" s="19">
        <v>3213.36</v>
      </c>
      <c r="E6" s="19">
        <v>2674.73</v>
      </c>
      <c r="F6" s="19">
        <v>10438.51</v>
      </c>
      <c r="G6" s="19">
        <v>4724.45</v>
      </c>
      <c r="H6" s="19">
        <v>3670.71</v>
      </c>
      <c r="I6" s="19">
        <v>27557.45</v>
      </c>
      <c r="J6" s="19">
        <v>366.65</v>
      </c>
      <c r="K6" s="19">
        <v>5692</v>
      </c>
      <c r="L6" s="19">
        <v>26605</v>
      </c>
      <c r="M6" s="51">
        <v>3862.34</v>
      </c>
      <c r="N6" s="313">
        <f t="shared" si="0"/>
        <v>104462.63999999998</v>
      </c>
      <c r="O6" s="19">
        <f>SUM('RC 2002'!B6:M6)</f>
        <v>111258.4</v>
      </c>
      <c r="P6" s="22">
        <f t="shared" si="1"/>
        <v>-6.1080871197141118E-2</v>
      </c>
    </row>
    <row r="7" spans="1:16">
      <c r="A7" s="267" t="s">
        <v>285</v>
      </c>
      <c r="B7" s="19">
        <v>1699.45</v>
      </c>
      <c r="C7" s="19">
        <v>2531.2600000000002</v>
      </c>
      <c r="D7" s="19">
        <v>1045.8</v>
      </c>
      <c r="E7" s="19">
        <v>408.18</v>
      </c>
      <c r="F7" s="19">
        <v>782.41</v>
      </c>
      <c r="G7" s="19">
        <v>1891.4</v>
      </c>
      <c r="H7" s="19">
        <v>1488</v>
      </c>
      <c r="I7" s="19">
        <v>6056.41</v>
      </c>
      <c r="J7" s="19">
        <v>2116.2800000000002</v>
      </c>
      <c r="K7" s="19">
        <v>5506</v>
      </c>
      <c r="L7" s="19">
        <v>7543</v>
      </c>
      <c r="M7" s="51">
        <v>827.28</v>
      </c>
      <c r="N7" s="313">
        <f t="shared" si="0"/>
        <v>31895.469999999998</v>
      </c>
      <c r="O7" s="19">
        <f>SUM('RC 2002'!B7:M7)</f>
        <v>41860.78</v>
      </c>
      <c r="P7" s="22">
        <f t="shared" si="1"/>
        <v>-0.23805839260520234</v>
      </c>
    </row>
    <row r="8" spans="1:16">
      <c r="A8" s="267" t="s">
        <v>180</v>
      </c>
      <c r="B8" s="19">
        <v>74227.12</v>
      </c>
      <c r="C8" s="19">
        <v>137544.1</v>
      </c>
      <c r="D8" s="19">
        <v>63537.55</v>
      </c>
      <c r="E8" s="19">
        <v>62810.71</v>
      </c>
      <c r="F8" s="19">
        <v>153918.79999999999</v>
      </c>
      <c r="G8" s="19">
        <v>129100.76</v>
      </c>
      <c r="H8" s="19">
        <v>120838</v>
      </c>
      <c r="I8" s="19">
        <v>269297.11</v>
      </c>
      <c r="J8" s="19">
        <v>109004.1</v>
      </c>
      <c r="K8" s="19">
        <v>115061</v>
      </c>
      <c r="L8" s="19">
        <v>224997</v>
      </c>
      <c r="M8" s="51">
        <v>120860.97</v>
      </c>
      <c r="N8" s="313">
        <f t="shared" si="0"/>
        <v>1581197.22</v>
      </c>
      <c r="O8" s="19">
        <f>SUM('RC 2002'!B8:M8)</f>
        <v>1511657.17</v>
      </c>
      <c r="P8" s="22">
        <f t="shared" si="1"/>
        <v>4.6002527147077865E-2</v>
      </c>
    </row>
    <row r="9" spans="1:16">
      <c r="A9" s="267" t="s">
        <v>262</v>
      </c>
      <c r="B9" s="19">
        <v>5281.13</v>
      </c>
      <c r="C9" s="19">
        <v>9089.2900000000009</v>
      </c>
      <c r="D9" s="19">
        <v>1085.51</v>
      </c>
      <c r="E9" s="19">
        <v>4307.87</v>
      </c>
      <c r="F9" s="19">
        <v>9280.56</v>
      </c>
      <c r="G9" s="19">
        <v>283.33</v>
      </c>
      <c r="H9" s="19">
        <v>1.51</v>
      </c>
      <c r="I9" s="19">
        <v>0</v>
      </c>
      <c r="J9" s="19">
        <v>0</v>
      </c>
      <c r="K9" s="19">
        <v>0</v>
      </c>
      <c r="L9" s="19">
        <v>0</v>
      </c>
      <c r="M9" s="51">
        <v>0</v>
      </c>
      <c r="N9" s="313">
        <f t="shared" si="0"/>
        <v>29329.200000000001</v>
      </c>
      <c r="O9" s="19">
        <f>SUM('RC 2002'!B9:M9)</f>
        <v>134307.48000000001</v>
      </c>
      <c r="P9" s="22">
        <f t="shared" si="1"/>
        <v>-0.78162645892842308</v>
      </c>
    </row>
    <row r="10" spans="1:16">
      <c r="A10" s="267" t="s">
        <v>183</v>
      </c>
      <c r="B10" s="19">
        <v>6549.06</v>
      </c>
      <c r="C10" s="19">
        <v>47595.16</v>
      </c>
      <c r="D10" s="19">
        <v>25877.42</v>
      </c>
      <c r="E10" s="19">
        <v>23556.240000000002</v>
      </c>
      <c r="F10" s="19">
        <v>38876.47</v>
      </c>
      <c r="G10" s="19">
        <v>11425.84</v>
      </c>
      <c r="H10" s="19">
        <v>2206.09</v>
      </c>
      <c r="I10" s="19">
        <v>5950.92</v>
      </c>
      <c r="J10" s="19">
        <v>1807.62</v>
      </c>
      <c r="K10" s="19">
        <v>1947</v>
      </c>
      <c r="L10" s="19">
        <v>15008</v>
      </c>
      <c r="M10" s="51">
        <v>1778.22</v>
      </c>
      <c r="N10" s="313">
        <f t="shared" si="0"/>
        <v>182578.04</v>
      </c>
      <c r="O10" s="19">
        <f>SUM('RC 2002'!B10:M10)</f>
        <v>173274.19000000003</v>
      </c>
      <c r="P10" s="22">
        <f t="shared" si="1"/>
        <v>5.3694378833916145E-2</v>
      </c>
    </row>
    <row r="11" spans="1:16">
      <c r="A11" s="267" t="s">
        <v>188</v>
      </c>
      <c r="B11" s="19">
        <v>22212.83</v>
      </c>
      <c r="C11" s="19">
        <v>35249.64</v>
      </c>
      <c r="D11" s="19">
        <v>18311.63</v>
      </c>
      <c r="E11" s="19">
        <v>23077.06</v>
      </c>
      <c r="F11" s="19">
        <v>33391</v>
      </c>
      <c r="G11" s="19">
        <v>23077.24</v>
      </c>
      <c r="H11" s="19">
        <v>26116.33</v>
      </c>
      <c r="I11" s="19">
        <v>53379.17</v>
      </c>
      <c r="J11" s="19">
        <v>31874.97</v>
      </c>
      <c r="K11" s="19">
        <v>31311</v>
      </c>
      <c r="L11" s="19">
        <v>54512</v>
      </c>
      <c r="M11" s="51">
        <v>28892.77</v>
      </c>
      <c r="N11" s="313">
        <f t="shared" si="0"/>
        <v>381405.64</v>
      </c>
      <c r="O11" s="19">
        <f>SUM('RC 2002'!B11:M11)</f>
        <v>367542</v>
      </c>
      <c r="P11" s="22">
        <f t="shared" si="1"/>
        <v>3.7719879632803988E-2</v>
      </c>
    </row>
    <row r="12" spans="1:16">
      <c r="A12" s="267" t="s">
        <v>286</v>
      </c>
      <c r="B12" s="19">
        <v>2345.7800000000002</v>
      </c>
      <c r="C12" s="19">
        <v>151.85</v>
      </c>
      <c r="D12" s="19">
        <v>1609.4</v>
      </c>
      <c r="E12" s="19">
        <v>2044.61</v>
      </c>
      <c r="F12" s="19">
        <v>3192.93</v>
      </c>
      <c r="G12" s="19">
        <v>4352.2700000000004</v>
      </c>
      <c r="H12" s="19">
        <v>3062.65</v>
      </c>
      <c r="I12" s="19">
        <v>7626.44</v>
      </c>
      <c r="J12" s="19">
        <v>5469.08</v>
      </c>
      <c r="K12" s="19">
        <v>5971</v>
      </c>
      <c r="L12" s="19">
        <v>8592</v>
      </c>
      <c r="M12" s="51">
        <v>4228.8900000000003</v>
      </c>
      <c r="N12" s="313">
        <f t="shared" si="0"/>
        <v>48646.9</v>
      </c>
      <c r="O12" s="19">
        <f>SUM('RC 2002'!B12:M12)</f>
        <v>25899.47</v>
      </c>
      <c r="P12" s="22">
        <f t="shared" si="1"/>
        <v>0.87829712345464972</v>
      </c>
    </row>
    <row r="13" spans="1:16">
      <c r="A13" s="267" t="s">
        <v>287</v>
      </c>
      <c r="B13" s="19">
        <v>0</v>
      </c>
      <c r="C13" s="19">
        <v>2322.33</v>
      </c>
      <c r="D13" s="19">
        <v>2070.14</v>
      </c>
      <c r="E13" s="19">
        <v>2087.13</v>
      </c>
      <c r="F13" s="19">
        <v>3790.74</v>
      </c>
      <c r="G13" s="19">
        <v>649.70000000000005</v>
      </c>
      <c r="H13" s="19">
        <v>2631.41</v>
      </c>
      <c r="I13" s="19">
        <v>12337.33</v>
      </c>
      <c r="J13" s="19">
        <v>7258.96</v>
      </c>
      <c r="K13" s="19">
        <v>8199</v>
      </c>
      <c r="L13" s="19">
        <v>22959</v>
      </c>
      <c r="M13" s="51">
        <v>5493.95</v>
      </c>
      <c r="N13" s="313">
        <f t="shared" si="0"/>
        <v>69799.69</v>
      </c>
      <c r="O13" s="19">
        <f>SUM('RC 2002'!B13:M13)</f>
        <v>50160.539999999994</v>
      </c>
      <c r="P13" s="22">
        <f t="shared" si="1"/>
        <v>0.39152588867663729</v>
      </c>
    </row>
    <row r="14" spans="1:16">
      <c r="A14" s="267" t="s">
        <v>288</v>
      </c>
      <c r="B14" s="19">
        <v>10828.36</v>
      </c>
      <c r="C14" s="19">
        <v>47832.61</v>
      </c>
      <c r="D14" s="19">
        <v>51283.54</v>
      </c>
      <c r="E14" s="19">
        <v>60675.040000000001</v>
      </c>
      <c r="F14" s="19">
        <v>85129.35</v>
      </c>
      <c r="G14" s="19">
        <v>17642.71</v>
      </c>
      <c r="H14" s="19">
        <v>8771.9500000000007</v>
      </c>
      <c r="I14" s="19">
        <v>3292.91</v>
      </c>
      <c r="J14" s="19">
        <v>2726.14</v>
      </c>
      <c r="K14" s="19">
        <v>6158</v>
      </c>
      <c r="L14" s="19">
        <v>7419</v>
      </c>
      <c r="M14" s="51">
        <v>2132.16</v>
      </c>
      <c r="N14" s="313">
        <f t="shared" si="0"/>
        <v>303891.77</v>
      </c>
      <c r="O14" s="19">
        <f>SUM('RC 2002'!B14:M14)</f>
        <v>282582.17000000004</v>
      </c>
      <c r="P14" s="22">
        <f t="shared" si="1"/>
        <v>7.5410278008693821E-2</v>
      </c>
    </row>
    <row r="15" spans="1:16">
      <c r="A15" s="267" t="s">
        <v>209</v>
      </c>
      <c r="B15" s="19">
        <v>3479.34</v>
      </c>
      <c r="C15" s="19">
        <v>7760.42</v>
      </c>
      <c r="D15" s="19">
        <v>3170.66</v>
      </c>
      <c r="E15" s="19">
        <v>2008.5</v>
      </c>
      <c r="F15" s="19">
        <v>9658.89</v>
      </c>
      <c r="G15" s="19">
        <v>1417.05</v>
      </c>
      <c r="H15" s="19">
        <v>3269.14</v>
      </c>
      <c r="I15" s="19">
        <v>10127.870000000001</v>
      </c>
      <c r="J15" s="19">
        <v>3266.22</v>
      </c>
      <c r="K15" s="19">
        <v>3557</v>
      </c>
      <c r="L15" s="19">
        <v>9819</v>
      </c>
      <c r="M15" s="51">
        <v>4275.25</v>
      </c>
      <c r="N15" s="313">
        <f t="shared" si="0"/>
        <v>61809.34</v>
      </c>
      <c r="O15" s="19">
        <f>SUM('RC 2002'!B15:M15)</f>
        <v>54439.24</v>
      </c>
      <c r="P15" s="22">
        <f t="shared" si="1"/>
        <v>0.13538212509946868</v>
      </c>
    </row>
    <row r="16" spans="1:16">
      <c r="A16" s="267" t="s">
        <v>289</v>
      </c>
      <c r="B16" s="19">
        <v>211548.64</v>
      </c>
      <c r="C16" s="19">
        <v>626453.47</v>
      </c>
      <c r="D16" s="19">
        <v>512766.64</v>
      </c>
      <c r="E16" s="19">
        <v>512215.59</v>
      </c>
      <c r="F16" s="19">
        <v>715339.11</v>
      </c>
      <c r="G16" s="19">
        <v>151061.67000000001</v>
      </c>
      <c r="H16" s="19">
        <v>125769</v>
      </c>
      <c r="I16" s="19">
        <v>235380.22</v>
      </c>
      <c r="J16" s="19">
        <v>233629.76</v>
      </c>
      <c r="K16" s="19">
        <v>263603</v>
      </c>
      <c r="L16" s="19">
        <v>231775</v>
      </c>
      <c r="M16" s="51">
        <v>203492.64</v>
      </c>
      <c r="N16" s="313">
        <f t="shared" si="0"/>
        <v>4023034.7400000007</v>
      </c>
      <c r="O16" s="19">
        <f>SUM('RC 2002'!B16:M16)</f>
        <v>4342207.1400000006</v>
      </c>
      <c r="P16" s="22">
        <f t="shared" si="1"/>
        <v>-7.3504646302985921E-2</v>
      </c>
    </row>
    <row r="17" spans="1:16">
      <c r="A17" s="267" t="s">
        <v>238</v>
      </c>
      <c r="B17" s="19">
        <v>18821.12</v>
      </c>
      <c r="C17" s="19">
        <v>29548.36</v>
      </c>
      <c r="D17" s="19">
        <v>16915.87</v>
      </c>
      <c r="E17" s="19">
        <v>12401.08</v>
      </c>
      <c r="F17" s="19">
        <v>27249.200000000001</v>
      </c>
      <c r="G17" s="19">
        <v>13114.26</v>
      </c>
      <c r="H17" s="19">
        <v>19379.28</v>
      </c>
      <c r="I17" s="19">
        <v>97237.41</v>
      </c>
      <c r="J17" s="19">
        <v>16639.63</v>
      </c>
      <c r="K17" s="19">
        <v>21798</v>
      </c>
      <c r="L17" s="19">
        <v>98331</v>
      </c>
      <c r="M17" s="51">
        <v>12621.3</v>
      </c>
      <c r="N17" s="313">
        <f t="shared" si="0"/>
        <v>384056.50999999995</v>
      </c>
      <c r="O17" s="19">
        <f>SUM('RC 2002'!B17:M17)</f>
        <v>333100.44000000006</v>
      </c>
      <c r="P17" s="22">
        <f t="shared" si="1"/>
        <v>0.15297509063632542</v>
      </c>
    </row>
    <row r="18" spans="1:16" ht="4.5" customHeight="1">
      <c r="A18" s="301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15"/>
      <c r="N18" s="316"/>
      <c r="O18" s="302"/>
      <c r="P18" s="305"/>
    </row>
    <row r="19" spans="1:16" s="47" customFormat="1" ht="11" thickBot="1">
      <c r="A19" s="275" t="s">
        <v>54</v>
      </c>
      <c r="B19" s="306">
        <f t="shared" ref="B19:N19" si="2">SUM(B4:B17)</f>
        <v>370984.37</v>
      </c>
      <c r="C19" s="306">
        <f t="shared" si="2"/>
        <v>971847.61</v>
      </c>
      <c r="D19" s="306">
        <f t="shared" si="2"/>
        <v>712945.43</v>
      </c>
      <c r="E19" s="306">
        <f t="shared" si="2"/>
        <v>713373.49</v>
      </c>
      <c r="F19" s="306">
        <f t="shared" si="2"/>
        <v>1108177.9199999999</v>
      </c>
      <c r="G19" s="306">
        <f t="shared" si="2"/>
        <v>361022.81999999995</v>
      </c>
      <c r="H19" s="306">
        <f t="shared" si="2"/>
        <v>334433.40000000002</v>
      </c>
      <c r="I19" s="306">
        <f t="shared" si="2"/>
        <v>768892.09</v>
      </c>
      <c r="J19" s="306">
        <f t="shared" si="2"/>
        <v>441828.5</v>
      </c>
      <c r="K19" s="306">
        <f t="shared" si="2"/>
        <v>487583</v>
      </c>
      <c r="L19" s="306">
        <f t="shared" si="2"/>
        <v>750639</v>
      </c>
      <c r="M19" s="319">
        <f t="shared" si="2"/>
        <v>406063.98000000004</v>
      </c>
      <c r="N19" s="317">
        <f t="shared" si="2"/>
        <v>7427791.6099999994</v>
      </c>
      <c r="O19" s="306">
        <f>SUM('RC 2002'!B19:M19)</f>
        <v>7585863.7199999997</v>
      </c>
      <c r="P19" s="309">
        <f t="shared" si="1"/>
        <v>-2.0837720770443879E-2</v>
      </c>
    </row>
    <row r="20" spans="1:16">
      <c r="A20" s="276" t="s">
        <v>265</v>
      </c>
      <c r="B20" s="320">
        <f>B19/'RC 2002'!B19-1</f>
        <v>0.29559700918910314</v>
      </c>
      <c r="C20" s="320">
        <f>C19/'RC 2002'!C19-1</f>
        <v>6.9395645892886826E-3</v>
      </c>
      <c r="D20" s="320">
        <f>D19/'RC 2002'!D19-1</f>
        <v>0.15846221981795394</v>
      </c>
      <c r="E20" s="320">
        <f>E19/'RC 2002'!E19-1</f>
        <v>-0.22918663082471002</v>
      </c>
      <c r="F20" s="320">
        <f>F19/'RC 2002'!F19-1</f>
        <v>-7.2194827898004799E-2</v>
      </c>
      <c r="G20" s="320">
        <f>G19/'RC 2002'!G19-1</f>
        <v>-0.25472386436385819</v>
      </c>
      <c r="H20" s="320">
        <f>H19/'RC 2002'!H19-1</f>
        <v>-0.12574607075306965</v>
      </c>
      <c r="I20" s="320">
        <f>I19/'RC 2002'!I19-1</f>
        <v>1.7321381256415469E-2</v>
      </c>
      <c r="J20" s="320">
        <f>J19/'RC 2002'!J19-1</f>
        <v>0.13098926481915707</v>
      </c>
      <c r="K20" s="320">
        <f>K19/'RC 2002'!K19-1</f>
        <v>0.28073876932735953</v>
      </c>
      <c r="L20" s="320">
        <f>L19/'RC 2002'!L19-1</f>
        <v>-6.4795409457980346E-2</v>
      </c>
      <c r="M20" s="320">
        <f>M19/'RC 2002'!M19-1</f>
        <v>9.3591879806549372E-3</v>
      </c>
      <c r="N20" s="320">
        <f>N19/'RC 2002'!N19-1</f>
        <v>-2.0837720770444101E-2</v>
      </c>
    </row>
  </sheetData>
  <mergeCells count="1">
    <mergeCell ref="A1:P1"/>
  </mergeCells>
  <pageMargins left="0.5" right="0.5" top="1" bottom="1" header="0.5" footer="0.5"/>
  <pageSetup scale="98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 enableFormatConditionsCalculation="0">
    <tabColor rgb="FF7030A0"/>
  </sheetPr>
  <dimension ref="A1:O19"/>
  <sheetViews>
    <sheetView workbookViewId="0">
      <selection activeCell="H50" sqref="H50"/>
    </sheetView>
  </sheetViews>
  <sheetFormatPr baseColWidth="10" defaultColWidth="9.1640625" defaultRowHeight="10" x14ac:dyDescent="0"/>
  <cols>
    <col min="1" max="1" width="12.5" style="1" bestFit="1" customWidth="1"/>
    <col min="2" max="5" width="7.6640625" style="1" customWidth="1"/>
    <col min="6" max="6" width="8.6640625" style="1" bestFit="1" customWidth="1"/>
    <col min="7" max="13" width="7.6640625" style="1" customWidth="1"/>
    <col min="14" max="14" width="8.6640625" style="1" customWidth="1"/>
    <col min="15" max="16384" width="9.1640625" style="1"/>
  </cols>
  <sheetData>
    <row r="1" spans="1:15" ht="23">
      <c r="A1" s="711" t="s">
        <v>308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</row>
    <row r="2" spans="1:15" ht="11" thickBot="1"/>
    <row r="3" spans="1:15" s="47" customFormat="1" ht="11" thickBot="1">
      <c r="A3" s="250" t="s">
        <v>152</v>
      </c>
      <c r="B3" s="251" t="s">
        <v>2</v>
      </c>
      <c r="C3" s="251" t="s">
        <v>3</v>
      </c>
      <c r="D3" s="251" t="s">
        <v>4</v>
      </c>
      <c r="E3" s="251" t="s">
        <v>5</v>
      </c>
      <c r="F3" s="251" t="s">
        <v>6</v>
      </c>
      <c r="G3" s="251" t="s">
        <v>7</v>
      </c>
      <c r="H3" s="251" t="s">
        <v>8</v>
      </c>
      <c r="I3" s="251" t="s">
        <v>9</v>
      </c>
      <c r="J3" s="251" t="s">
        <v>10</v>
      </c>
      <c r="K3" s="251" t="s">
        <v>11</v>
      </c>
      <c r="L3" s="251" t="s">
        <v>12</v>
      </c>
      <c r="M3" s="310" t="s">
        <v>13</v>
      </c>
      <c r="N3" s="321" t="s">
        <v>14</v>
      </c>
    </row>
    <row r="4" spans="1:15">
      <c r="A4" s="267" t="s">
        <v>176</v>
      </c>
      <c r="B4" s="19">
        <v>7062.05</v>
      </c>
      <c r="C4" s="19">
        <v>11159.65</v>
      </c>
      <c r="D4" s="19">
        <v>5830.89</v>
      </c>
      <c r="E4" s="19">
        <v>6425.75</v>
      </c>
      <c r="F4" s="19">
        <v>13982.34</v>
      </c>
      <c r="G4" s="19">
        <v>8270.07</v>
      </c>
      <c r="H4" s="19">
        <v>10405.01</v>
      </c>
      <c r="I4" s="19">
        <v>22460.54</v>
      </c>
      <c r="J4" s="19">
        <v>10118.93</v>
      </c>
      <c r="K4" s="19">
        <v>9991.65</v>
      </c>
      <c r="L4" s="19">
        <v>22838.39</v>
      </c>
      <c r="M4" s="51">
        <v>10477.31</v>
      </c>
      <c r="N4" s="322">
        <f>SUM(B4:M4)</f>
        <v>139022.58000000002</v>
      </c>
      <c r="O4" s="323"/>
    </row>
    <row r="5" spans="1:15">
      <c r="A5" s="267" t="s">
        <v>282</v>
      </c>
      <c r="B5" s="19">
        <v>217.07</v>
      </c>
      <c r="C5" s="19">
        <v>3160.33</v>
      </c>
      <c r="D5" s="19">
        <v>1556.5</v>
      </c>
      <c r="E5" s="19">
        <v>332.61</v>
      </c>
      <c r="F5" s="19">
        <v>1669.1</v>
      </c>
      <c r="G5" s="19">
        <v>597.69000000000005</v>
      </c>
      <c r="H5" s="19">
        <v>660.87</v>
      </c>
      <c r="I5" s="19">
        <v>4295.18</v>
      </c>
      <c r="J5" s="19">
        <v>625.09</v>
      </c>
      <c r="K5" s="19">
        <v>550.98</v>
      </c>
      <c r="L5" s="19">
        <v>4339.38</v>
      </c>
      <c r="M5" s="51">
        <v>547.32000000000005</v>
      </c>
      <c r="N5" s="322">
        <f t="shared" ref="N5:N17" si="0">SUM(B5:M5)</f>
        <v>18552.12</v>
      </c>
      <c r="O5" s="323"/>
    </row>
    <row r="6" spans="1:15">
      <c r="A6" s="267" t="s">
        <v>284</v>
      </c>
      <c r="B6" s="19">
        <v>3171.33</v>
      </c>
      <c r="C6" s="19">
        <v>14742.43</v>
      </c>
      <c r="D6" s="19">
        <v>7794.77</v>
      </c>
      <c r="E6" s="19">
        <v>3930.48</v>
      </c>
      <c r="F6" s="19">
        <v>14058.06</v>
      </c>
      <c r="G6" s="19">
        <v>5819</v>
      </c>
      <c r="H6" s="19">
        <v>4911.05</v>
      </c>
      <c r="I6" s="19">
        <v>19711.71</v>
      </c>
      <c r="J6" s="19">
        <v>5284.48</v>
      </c>
      <c r="K6" s="19">
        <v>3975.19</v>
      </c>
      <c r="L6" s="19">
        <v>24239.25</v>
      </c>
      <c r="M6" s="51">
        <v>3620.65</v>
      </c>
      <c r="N6" s="322">
        <f t="shared" si="0"/>
        <v>111258.4</v>
      </c>
      <c r="O6" s="323"/>
    </row>
    <row r="7" spans="1:15">
      <c r="A7" s="267" t="s">
        <v>285</v>
      </c>
      <c r="B7" s="19">
        <v>2297.79</v>
      </c>
      <c r="C7" s="19">
        <v>1840.37</v>
      </c>
      <c r="D7" s="19">
        <v>1245.28</v>
      </c>
      <c r="E7" s="19">
        <v>3640.12</v>
      </c>
      <c r="F7" s="19">
        <v>1847.26</v>
      </c>
      <c r="G7" s="19">
        <v>4560.87</v>
      </c>
      <c r="H7" s="19">
        <v>5680.89</v>
      </c>
      <c r="I7" s="19">
        <v>4923.96</v>
      </c>
      <c r="J7" s="19">
        <v>1871.5</v>
      </c>
      <c r="K7" s="19">
        <v>7229.74</v>
      </c>
      <c r="L7" s="19">
        <v>3773.85</v>
      </c>
      <c r="M7" s="51">
        <v>2949.15</v>
      </c>
      <c r="N7" s="322">
        <f t="shared" si="0"/>
        <v>41860.78</v>
      </c>
      <c r="O7" s="323"/>
    </row>
    <row r="8" spans="1:15">
      <c r="A8" s="267" t="s">
        <v>180</v>
      </c>
      <c r="B8" s="19">
        <v>66414.25</v>
      </c>
      <c r="C8" s="19">
        <v>139303.57</v>
      </c>
      <c r="D8" s="19">
        <v>56805.78</v>
      </c>
      <c r="E8" s="19">
        <v>82914.73</v>
      </c>
      <c r="F8" s="19">
        <v>152972.34</v>
      </c>
      <c r="G8" s="19">
        <v>117913.15</v>
      </c>
      <c r="H8" s="19">
        <v>130557.57</v>
      </c>
      <c r="I8" s="19">
        <v>244326.42</v>
      </c>
      <c r="J8" s="19">
        <v>85363.29</v>
      </c>
      <c r="K8" s="19">
        <v>103482.26</v>
      </c>
      <c r="L8" s="19">
        <v>198213.19</v>
      </c>
      <c r="M8" s="51">
        <v>133390.62</v>
      </c>
      <c r="N8" s="322">
        <f t="shared" si="0"/>
        <v>1511657.17</v>
      </c>
      <c r="O8" s="323"/>
    </row>
    <row r="9" spans="1:15">
      <c r="A9" s="267" t="s">
        <v>262</v>
      </c>
      <c r="B9" s="19">
        <v>5425.95</v>
      </c>
      <c r="C9" s="19">
        <v>9115.9599999999991</v>
      </c>
      <c r="D9" s="19">
        <v>4025.11</v>
      </c>
      <c r="E9" s="19">
        <v>4218.78</v>
      </c>
      <c r="F9" s="19">
        <v>12020.31</v>
      </c>
      <c r="G9" s="19">
        <v>9206.26</v>
      </c>
      <c r="H9" s="19">
        <v>13397.44</v>
      </c>
      <c r="I9" s="19">
        <v>21287.68</v>
      </c>
      <c r="J9" s="19">
        <v>12369.8</v>
      </c>
      <c r="K9" s="19">
        <v>11065.52</v>
      </c>
      <c r="L9" s="19">
        <v>20831.3</v>
      </c>
      <c r="M9" s="51">
        <v>11343.37</v>
      </c>
      <c r="N9" s="322">
        <f t="shared" si="0"/>
        <v>134307.48000000001</v>
      </c>
      <c r="O9" s="323"/>
    </row>
    <row r="10" spans="1:15">
      <c r="A10" s="267" t="s">
        <v>183</v>
      </c>
      <c r="B10" s="19">
        <v>3412.08</v>
      </c>
      <c r="C10" s="19">
        <v>40598.43</v>
      </c>
      <c r="D10" s="19">
        <v>27917.63</v>
      </c>
      <c r="E10" s="19">
        <v>25441.97</v>
      </c>
      <c r="F10" s="19">
        <v>40943.15</v>
      </c>
      <c r="G10" s="19">
        <v>8251.85</v>
      </c>
      <c r="H10" s="19">
        <v>1614.29</v>
      </c>
      <c r="I10" s="19">
        <v>5672.07</v>
      </c>
      <c r="J10" s="19">
        <v>3938.76</v>
      </c>
      <c r="K10" s="19">
        <v>3462.3</v>
      </c>
      <c r="L10" s="19">
        <v>8897.06</v>
      </c>
      <c r="M10" s="51">
        <v>3124.6</v>
      </c>
      <c r="N10" s="322">
        <f t="shared" si="0"/>
        <v>173274.19000000003</v>
      </c>
      <c r="O10" s="323"/>
    </row>
    <row r="11" spans="1:15">
      <c r="A11" s="267" t="s">
        <v>188</v>
      </c>
      <c r="B11" s="19">
        <v>17417.310000000001</v>
      </c>
      <c r="C11" s="19">
        <v>38129.42</v>
      </c>
      <c r="D11" s="19">
        <v>16070.58</v>
      </c>
      <c r="E11" s="19">
        <v>16516.900000000001</v>
      </c>
      <c r="F11" s="19">
        <v>32783.07</v>
      </c>
      <c r="G11" s="19">
        <v>28220.17</v>
      </c>
      <c r="H11" s="19">
        <v>26211.66</v>
      </c>
      <c r="I11" s="19">
        <v>57663.83</v>
      </c>
      <c r="J11" s="19">
        <v>24797.57</v>
      </c>
      <c r="K11" s="19">
        <v>28129.81</v>
      </c>
      <c r="L11" s="19">
        <v>54636.91</v>
      </c>
      <c r="M11" s="51">
        <v>26964.77</v>
      </c>
      <c r="N11" s="322">
        <f t="shared" si="0"/>
        <v>367542</v>
      </c>
      <c r="O11" s="323"/>
    </row>
    <row r="12" spans="1:15">
      <c r="A12" s="267" t="s">
        <v>286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0.99</v>
      </c>
      <c r="I12" s="19">
        <v>980.35</v>
      </c>
      <c r="J12" s="19">
        <v>7218.18</v>
      </c>
      <c r="K12" s="19">
        <v>5036.93</v>
      </c>
      <c r="L12" s="19">
        <v>9417.3799999999992</v>
      </c>
      <c r="M12" s="51">
        <v>3245.64</v>
      </c>
      <c r="N12" s="322">
        <f t="shared" si="0"/>
        <v>25899.47</v>
      </c>
      <c r="O12" s="323"/>
    </row>
    <row r="13" spans="1:15">
      <c r="A13" s="267" t="s">
        <v>287</v>
      </c>
      <c r="B13" s="19">
        <v>0</v>
      </c>
      <c r="C13" s="19">
        <v>0</v>
      </c>
      <c r="D13" s="19">
        <v>0</v>
      </c>
      <c r="E13" s="19">
        <v>9.64</v>
      </c>
      <c r="F13" s="19">
        <v>36.31</v>
      </c>
      <c r="G13" s="19">
        <v>485.03</v>
      </c>
      <c r="H13" s="19">
        <v>3022.69</v>
      </c>
      <c r="I13" s="19">
        <v>7528.82</v>
      </c>
      <c r="J13" s="19">
        <v>3023.47</v>
      </c>
      <c r="K13" s="19">
        <v>6008.52</v>
      </c>
      <c r="L13" s="19">
        <v>25490.61</v>
      </c>
      <c r="M13" s="51">
        <v>4555.45</v>
      </c>
      <c r="N13" s="322">
        <f t="shared" si="0"/>
        <v>50160.539999999994</v>
      </c>
      <c r="O13" s="323"/>
    </row>
    <row r="14" spans="1:15">
      <c r="A14" s="267" t="s">
        <v>288</v>
      </c>
      <c r="B14" s="19">
        <v>10631.54</v>
      </c>
      <c r="C14" s="19">
        <v>45029.85</v>
      </c>
      <c r="D14" s="19">
        <v>47428.63</v>
      </c>
      <c r="E14" s="19">
        <v>48496.81</v>
      </c>
      <c r="F14" s="19">
        <v>80188.11</v>
      </c>
      <c r="G14" s="19">
        <v>22843.11</v>
      </c>
      <c r="H14" s="19">
        <v>1940.33</v>
      </c>
      <c r="I14" s="19">
        <v>10928.04</v>
      </c>
      <c r="J14" s="19">
        <v>2796.38</v>
      </c>
      <c r="K14" s="19">
        <v>4908.6899999999996</v>
      </c>
      <c r="L14" s="19">
        <v>5834.53</v>
      </c>
      <c r="M14" s="51">
        <v>1556.15</v>
      </c>
      <c r="N14" s="322">
        <f t="shared" si="0"/>
        <v>282582.17000000004</v>
      </c>
      <c r="O14" s="323"/>
    </row>
    <row r="15" spans="1:15">
      <c r="A15" s="267" t="s">
        <v>209</v>
      </c>
      <c r="B15" s="19">
        <v>2398.85</v>
      </c>
      <c r="C15" s="19">
        <v>8932.33</v>
      </c>
      <c r="D15" s="19">
        <v>1446.04</v>
      </c>
      <c r="E15" s="19">
        <v>2253.4299999999998</v>
      </c>
      <c r="F15" s="19">
        <v>6190.69</v>
      </c>
      <c r="G15" s="19">
        <v>3306.93</v>
      </c>
      <c r="H15" s="19">
        <v>2755.52</v>
      </c>
      <c r="I15" s="19">
        <v>9488.77</v>
      </c>
      <c r="J15" s="19">
        <v>2602.54</v>
      </c>
      <c r="K15" s="19">
        <v>2828.33</v>
      </c>
      <c r="L15" s="19">
        <v>9172.0499999999993</v>
      </c>
      <c r="M15" s="51">
        <v>3063.76</v>
      </c>
      <c r="N15" s="322">
        <f t="shared" si="0"/>
        <v>54439.24</v>
      </c>
      <c r="O15" s="323"/>
    </row>
    <row r="16" spans="1:15">
      <c r="A16" s="267" t="s">
        <v>289</v>
      </c>
      <c r="B16" s="19">
        <v>167894.19</v>
      </c>
      <c r="C16" s="19">
        <v>623843.12</v>
      </c>
      <c r="D16" s="19">
        <v>435464.47</v>
      </c>
      <c r="E16" s="19">
        <v>727119.81</v>
      </c>
      <c r="F16" s="19">
        <v>809910</v>
      </c>
      <c r="G16" s="19">
        <v>255136.87</v>
      </c>
      <c r="H16" s="19">
        <v>152631.89000000001</v>
      </c>
      <c r="I16" s="19">
        <v>262821.84999999998</v>
      </c>
      <c r="J16" s="19">
        <v>217130.33</v>
      </c>
      <c r="K16" s="19">
        <v>178535.85</v>
      </c>
      <c r="L16" s="19">
        <v>328920.40999999997</v>
      </c>
      <c r="M16" s="51">
        <v>182798.35</v>
      </c>
      <c r="N16" s="322">
        <f t="shared" si="0"/>
        <v>4342207.1400000006</v>
      </c>
      <c r="O16" s="323"/>
    </row>
    <row r="17" spans="1:15">
      <c r="A17" s="267" t="s">
        <v>238</v>
      </c>
      <c r="B17" s="19">
        <v>0</v>
      </c>
      <c r="C17" s="19">
        <v>29294.43</v>
      </c>
      <c r="D17" s="19">
        <v>9838.2999999999993</v>
      </c>
      <c r="E17" s="19">
        <v>4180.4399999999996</v>
      </c>
      <c r="F17" s="19">
        <v>27807.26</v>
      </c>
      <c r="G17" s="19">
        <v>19803.84</v>
      </c>
      <c r="H17" s="19">
        <v>28745.57</v>
      </c>
      <c r="I17" s="19">
        <v>83711.360000000001</v>
      </c>
      <c r="J17" s="19">
        <v>13516.35</v>
      </c>
      <c r="K17" s="19">
        <v>15498.72</v>
      </c>
      <c r="L17" s="19">
        <v>86042.52</v>
      </c>
      <c r="M17" s="51">
        <v>14661.65</v>
      </c>
      <c r="N17" s="322">
        <f t="shared" si="0"/>
        <v>333100.44000000006</v>
      </c>
      <c r="O17" s="323"/>
    </row>
    <row r="18" spans="1:15" ht="4.5" customHeight="1">
      <c r="A18" s="301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15"/>
      <c r="N18" s="324"/>
      <c r="O18" s="146"/>
    </row>
    <row r="19" spans="1:15" s="47" customFormat="1" ht="11" thickBot="1">
      <c r="A19" s="275" t="s">
        <v>54</v>
      </c>
      <c r="B19" s="306">
        <f>SUM(B4:B17)</f>
        <v>286342.41000000003</v>
      </c>
      <c r="C19" s="306">
        <f t="shared" ref="C19:N19" si="1">SUM(C4:C17)</f>
        <v>965149.89</v>
      </c>
      <c r="D19" s="306">
        <f t="shared" si="1"/>
        <v>615423.98</v>
      </c>
      <c r="E19" s="306">
        <f t="shared" si="1"/>
        <v>925481.47</v>
      </c>
      <c r="F19" s="306">
        <f t="shared" si="1"/>
        <v>1194408</v>
      </c>
      <c r="G19" s="306">
        <f t="shared" si="1"/>
        <v>484414.84</v>
      </c>
      <c r="H19" s="306">
        <f t="shared" si="1"/>
        <v>382535.77</v>
      </c>
      <c r="I19" s="306">
        <f t="shared" si="1"/>
        <v>755800.58</v>
      </c>
      <c r="J19" s="306">
        <f t="shared" si="1"/>
        <v>390656.66999999993</v>
      </c>
      <c r="K19" s="306">
        <f t="shared" si="1"/>
        <v>380704.48999999993</v>
      </c>
      <c r="L19" s="306">
        <f t="shared" si="1"/>
        <v>802646.83</v>
      </c>
      <c r="M19" s="319">
        <f t="shared" si="1"/>
        <v>402298.79000000004</v>
      </c>
      <c r="N19" s="325">
        <f t="shared" si="1"/>
        <v>7585863.7200000016</v>
      </c>
      <c r="O19" s="326"/>
    </row>
  </sheetData>
  <mergeCells count="1">
    <mergeCell ref="A1:N1"/>
  </mergeCells>
  <pageMargins left="0.75" right="0.75" top="1" bottom="1" header="0.5" footer="0.5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 enableFormatConditionsCalculation="0">
    <tabColor rgb="FFFF0066"/>
    <pageSetUpPr fitToPage="1"/>
  </sheetPr>
  <dimension ref="D1:D3"/>
  <sheetViews>
    <sheetView workbookViewId="0">
      <selection activeCell="A2" sqref="A2"/>
    </sheetView>
  </sheetViews>
  <sheetFormatPr baseColWidth="10" defaultColWidth="8.83203125" defaultRowHeight="12" x14ac:dyDescent="0"/>
  <cols>
    <col min="1" max="1" width="151.6640625" customWidth="1"/>
    <col min="4" max="4" width="13.33203125" bestFit="1" customWidth="1"/>
  </cols>
  <sheetData>
    <row r="1" spans="4:4" ht="224.25" customHeight="1">
      <c r="D1" s="222"/>
    </row>
    <row r="2" spans="4:4" ht="231.75" customHeight="1">
      <c r="D2" s="222"/>
    </row>
    <row r="3" spans="4:4" ht="174.75" customHeight="1"/>
  </sheetData>
  <sheetProtection sheet="1" objects="1" scenarios="1"/>
  <pageMargins left="0.25" right="0.25" top="0.25" bottom="0.25" header="0" footer="0"/>
  <pageSetup scale="5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97</vt:i4>
      </vt:variant>
    </vt:vector>
  </HeadingPairs>
  <TitlesOfParts>
    <vt:vector size="97" baseType="lpstr">
      <vt:lpstr>TOTAL 2017</vt:lpstr>
      <vt:lpstr>TOTAL 2016</vt:lpstr>
      <vt:lpstr>TOTAL 2015</vt:lpstr>
      <vt:lpstr>TOTAL 2014</vt:lpstr>
      <vt:lpstr>TOTAL 2013</vt:lpstr>
      <vt:lpstr>TOTAL 2012</vt:lpstr>
      <vt:lpstr>TOTAL 2011</vt:lpstr>
      <vt:lpstr>TOTAL 2010</vt:lpstr>
      <vt:lpstr>TOTAL 2009</vt:lpstr>
      <vt:lpstr>TOTAL 2008</vt:lpstr>
      <vt:lpstr>TOTAL 2007</vt:lpstr>
      <vt:lpstr>TOTAL 2006</vt:lpstr>
      <vt:lpstr>TOTAL 2005</vt:lpstr>
      <vt:lpstr>TOTAL 2004</vt:lpstr>
      <vt:lpstr>TOTAL 2003</vt:lpstr>
      <vt:lpstr>TOTAL 2002</vt:lpstr>
      <vt:lpstr>CR 2017</vt:lpstr>
      <vt:lpstr>CR 2016</vt:lpstr>
      <vt:lpstr>CR 2015</vt:lpstr>
      <vt:lpstr>CR 2014</vt:lpstr>
      <vt:lpstr>CR 2013</vt:lpstr>
      <vt:lpstr>CR 2012</vt:lpstr>
      <vt:lpstr>CR 2011</vt:lpstr>
      <vt:lpstr>CR 2010</vt:lpstr>
      <vt:lpstr>CR 2009</vt:lpstr>
      <vt:lpstr>CR 2008</vt:lpstr>
      <vt:lpstr>CR 2007</vt:lpstr>
      <vt:lpstr>CR 2006</vt:lpstr>
      <vt:lpstr>CR 2005</vt:lpstr>
      <vt:lpstr>CR 2004</vt:lpstr>
      <vt:lpstr>CR 2003</vt:lpstr>
      <vt:lpstr>R 2017</vt:lpstr>
      <vt:lpstr>R 2016</vt:lpstr>
      <vt:lpstr>R 2015</vt:lpstr>
      <vt:lpstr>R 2014</vt:lpstr>
      <vt:lpstr>R 2013</vt:lpstr>
      <vt:lpstr>R 2012</vt:lpstr>
      <vt:lpstr>R 2011</vt:lpstr>
      <vt:lpstr>R 2010</vt:lpstr>
      <vt:lpstr>R 2009</vt:lpstr>
      <vt:lpstr>R 2008</vt:lpstr>
      <vt:lpstr>R 2007</vt:lpstr>
      <vt:lpstr>R 2006</vt:lpstr>
      <vt:lpstr>R 2005</vt:lpstr>
      <vt:lpstr>R 2004</vt:lpstr>
      <vt:lpstr>R 2003</vt:lpstr>
      <vt:lpstr>R 2002</vt:lpstr>
      <vt:lpstr>R 2001</vt:lpstr>
      <vt:lpstr>MTRT 2017</vt:lpstr>
      <vt:lpstr>MTRT 2016</vt:lpstr>
      <vt:lpstr>MTRT 2015</vt:lpstr>
      <vt:lpstr>MTRT 2014</vt:lpstr>
      <vt:lpstr>MTRT 2013</vt:lpstr>
      <vt:lpstr>MTRT 2012</vt:lpstr>
      <vt:lpstr>MTRT 2011</vt:lpstr>
      <vt:lpstr>MTRT 2010</vt:lpstr>
      <vt:lpstr>MTRT 2009</vt:lpstr>
      <vt:lpstr>MTRT 2008</vt:lpstr>
      <vt:lpstr>MTRT 2007</vt:lpstr>
      <vt:lpstr>MTRT 2006</vt:lpstr>
      <vt:lpstr>MTRT 2005</vt:lpstr>
      <vt:lpstr>MTRT 2004</vt:lpstr>
      <vt:lpstr>MTRT 2003</vt:lpstr>
      <vt:lpstr>MTRT 2002</vt:lpstr>
      <vt:lpstr>TRT 2017</vt:lpstr>
      <vt:lpstr>TRT 2016</vt:lpstr>
      <vt:lpstr>TRT 2015</vt:lpstr>
      <vt:lpstr>TRT 2014</vt:lpstr>
      <vt:lpstr>TRT 2013</vt:lpstr>
      <vt:lpstr>TRT 2012</vt:lpstr>
      <vt:lpstr>TRT 2011</vt:lpstr>
      <vt:lpstr>TRT 2010</vt:lpstr>
      <vt:lpstr>TRT 2009</vt:lpstr>
      <vt:lpstr>TRT 2008</vt:lpstr>
      <vt:lpstr>TRT 2007</vt:lpstr>
      <vt:lpstr>TRT 2006</vt:lpstr>
      <vt:lpstr>TRT 2005</vt:lpstr>
      <vt:lpstr>TRT 2004</vt:lpstr>
      <vt:lpstr>TRT 2003</vt:lpstr>
      <vt:lpstr>TRT 2002</vt:lpstr>
      <vt:lpstr>RC 2017</vt:lpstr>
      <vt:lpstr>RC 2016</vt:lpstr>
      <vt:lpstr>RC 2015</vt:lpstr>
      <vt:lpstr>RC 2014</vt:lpstr>
      <vt:lpstr>RC 2013</vt:lpstr>
      <vt:lpstr>RC 2012</vt:lpstr>
      <vt:lpstr>RC 2011</vt:lpstr>
      <vt:lpstr>RC 2010</vt:lpstr>
      <vt:lpstr>RC 2009</vt:lpstr>
      <vt:lpstr>RC 2008</vt:lpstr>
      <vt:lpstr>RC 2007</vt:lpstr>
      <vt:lpstr>RC 2006</vt:lpstr>
      <vt:lpstr>RC 2005</vt:lpstr>
      <vt:lpstr>RC 2004</vt:lpstr>
      <vt:lpstr>RC 2003</vt:lpstr>
      <vt:lpstr>RC 2002</vt:lpstr>
      <vt:lpstr>VIZ</vt:lpstr>
    </vt:vector>
  </TitlesOfParts>
  <Company>State of Utah - DCED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jkemp</dc:creator>
  <cp:lastModifiedBy>Rachel</cp:lastModifiedBy>
  <cp:lastPrinted>2015-09-08T19:48:01Z</cp:lastPrinted>
  <dcterms:created xsi:type="dcterms:W3CDTF">2003-04-29T16:21:22Z</dcterms:created>
  <dcterms:modified xsi:type="dcterms:W3CDTF">2017-09-26T20:46:20Z</dcterms:modified>
</cp:coreProperties>
</file>